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00" windowHeight="1185"/>
  </bookViews>
  <sheets>
    <sheet name="Смета по ФЕР 421пр (12 гр." sheetId="5" r:id="rId1"/>
    <sheet name="Source" sheetId="1" r:id="rId2"/>
    <sheet name="SourceObSm" sheetId="2" r:id="rId3"/>
    <sheet name="SmtRes" sheetId="3" r:id="rId4"/>
    <sheet name="EtalonRes" sheetId="4" r:id="rId5"/>
  </sheets>
  <definedNames>
    <definedName name="_xlnm.Print_Titles" localSheetId="0">'Смета по ФЕР 421пр (12 гр.'!$29:$29</definedName>
    <definedName name="_xlnm.Print_Area" localSheetId="0">'Смета по ФЕР 421пр (12 гр.'!$A$1:$L$689</definedName>
  </definedNames>
  <calcPr calcId="125725"/>
</workbook>
</file>

<file path=xl/calcChain.xml><?xml version="1.0" encoding="utf-8"?>
<calcChain xmlns="http://schemas.openxmlformats.org/spreadsheetml/2006/main">
  <c r="L681" i="5"/>
  <c r="K667" l="1"/>
  <c r="B667"/>
  <c r="J667"/>
  <c r="K666"/>
  <c r="B666"/>
  <c r="K663"/>
  <c r="B663"/>
  <c r="J663"/>
  <c r="K659"/>
  <c r="B659"/>
  <c r="K658"/>
  <c r="B658"/>
  <c r="K657"/>
  <c r="B657"/>
  <c r="J651"/>
  <c r="C651"/>
  <c r="J650"/>
  <c r="C650"/>
  <c r="J649"/>
  <c r="C649"/>
  <c r="J648"/>
  <c r="C648"/>
  <c r="J647"/>
  <c r="C647"/>
  <c r="L646"/>
  <c r="L645"/>
  <c r="BZ629"/>
  <c r="BZ628"/>
  <c r="AD630"/>
  <c r="Z630"/>
  <c r="P630"/>
  <c r="AF630"/>
  <c r="AY630"/>
  <c r="AO630"/>
  <c r="AZ630"/>
  <c r="AP630"/>
  <c r="AB630"/>
  <c r="X630"/>
  <c r="BA630"/>
  <c r="AQ630"/>
  <c r="AX630"/>
  <c r="AN630"/>
  <c r="BZ630"/>
  <c r="CA630"/>
  <c r="G629"/>
  <c r="E629"/>
  <c r="G628"/>
  <c r="E628"/>
  <c r="F625"/>
  <c r="E625"/>
  <c r="BZ624"/>
  <c r="K624"/>
  <c r="I624"/>
  <c r="H624"/>
  <c r="H626" s="1"/>
  <c r="E622"/>
  <c r="BD622"/>
  <c r="BC622"/>
  <c r="AT622"/>
  <c r="AS622"/>
  <c r="G622"/>
  <c r="D622"/>
  <c r="B622"/>
  <c r="BZ620"/>
  <c r="BZ619"/>
  <c r="AD621"/>
  <c r="Z621"/>
  <c r="P621"/>
  <c r="AF621"/>
  <c r="AY621"/>
  <c r="AO621"/>
  <c r="AZ621"/>
  <c r="AP621"/>
  <c r="AB621"/>
  <c r="X621"/>
  <c r="BA621"/>
  <c r="AQ621"/>
  <c r="AX621"/>
  <c r="AN621"/>
  <c r="BZ621"/>
  <c r="CA621"/>
  <c r="G620"/>
  <c r="E620"/>
  <c r="G619"/>
  <c r="E619"/>
  <c r="F616"/>
  <c r="E616"/>
  <c r="BZ615"/>
  <c r="K615"/>
  <c r="I615"/>
  <c r="H615"/>
  <c r="H617" s="1"/>
  <c r="E613"/>
  <c r="BD613"/>
  <c r="BC613"/>
  <c r="AT613"/>
  <c r="AS613"/>
  <c r="G613"/>
  <c r="D613"/>
  <c r="B613"/>
  <c r="J610"/>
  <c r="C610"/>
  <c r="J609"/>
  <c r="C609"/>
  <c r="J608"/>
  <c r="C608"/>
  <c r="J607"/>
  <c r="C607"/>
  <c r="J606"/>
  <c r="C606"/>
  <c r="J605"/>
  <c r="C605"/>
  <c r="L604"/>
  <c r="AD588"/>
  <c r="Z588"/>
  <c r="U588"/>
  <c r="AO588"/>
  <c r="AZ588"/>
  <c r="AP588"/>
  <c r="AB588"/>
  <c r="X588"/>
  <c r="R588"/>
  <c r="BA588"/>
  <c r="AQ588"/>
  <c r="Q588"/>
  <c r="AN588"/>
  <c r="K586"/>
  <c r="H586"/>
  <c r="E586"/>
  <c r="AT586"/>
  <c r="AS586"/>
  <c r="G586"/>
  <c r="D586"/>
  <c r="B586"/>
  <c r="AD585"/>
  <c r="Z585"/>
  <c r="U585"/>
  <c r="P585"/>
  <c r="AO585"/>
  <c r="AZ585"/>
  <c r="AP585"/>
  <c r="AB585"/>
  <c r="X585"/>
  <c r="R585"/>
  <c r="BA585"/>
  <c r="AQ585"/>
  <c r="Q585"/>
  <c r="AN585"/>
  <c r="H583"/>
  <c r="E583"/>
  <c r="AT583"/>
  <c r="AS583"/>
  <c r="G583"/>
  <c r="D583"/>
  <c r="C583"/>
  <c r="B583"/>
  <c r="AD582"/>
  <c r="Z582"/>
  <c r="U582"/>
  <c r="P582"/>
  <c r="AO582"/>
  <c r="AZ582"/>
  <c r="AP582"/>
  <c r="AB582"/>
  <c r="X582"/>
  <c r="R582"/>
  <c r="BA582"/>
  <c r="AQ582"/>
  <c r="Q582"/>
  <c r="AN582"/>
  <c r="H580"/>
  <c r="E580"/>
  <c r="AT580"/>
  <c r="AS580"/>
  <c r="G580"/>
  <c r="D580"/>
  <c r="C580"/>
  <c r="B580"/>
  <c r="AD579"/>
  <c r="Z579"/>
  <c r="U579"/>
  <c r="P579"/>
  <c r="AO579"/>
  <c r="AZ579"/>
  <c r="AP579"/>
  <c r="AB579"/>
  <c r="X579"/>
  <c r="R579"/>
  <c r="BA579"/>
  <c r="AQ579"/>
  <c r="Q579"/>
  <c r="AN579"/>
  <c r="H577"/>
  <c r="E577"/>
  <c r="AT577"/>
  <c r="AS577"/>
  <c r="G577"/>
  <c r="D577"/>
  <c r="C577"/>
  <c r="B577"/>
  <c r="AD576"/>
  <c r="Z576"/>
  <c r="U576"/>
  <c r="AO576"/>
  <c r="AZ576"/>
  <c r="AP576"/>
  <c r="AB576"/>
  <c r="X576"/>
  <c r="R576"/>
  <c r="BA576"/>
  <c r="AQ576"/>
  <c r="Q576"/>
  <c r="AN576"/>
  <c r="K574"/>
  <c r="H574"/>
  <c r="E574"/>
  <c r="AT574"/>
  <c r="AS574"/>
  <c r="G574"/>
  <c r="D574"/>
  <c r="B574"/>
  <c r="AD573"/>
  <c r="Z573"/>
  <c r="U573"/>
  <c r="P573"/>
  <c r="AY573"/>
  <c r="AZ573"/>
  <c r="AP573"/>
  <c r="AB573"/>
  <c r="X573"/>
  <c r="R573"/>
  <c r="BA573"/>
  <c r="AQ573"/>
  <c r="Q573"/>
  <c r="AX573"/>
  <c r="H571"/>
  <c r="E571"/>
  <c r="BD571"/>
  <c r="BC571"/>
  <c r="G571"/>
  <c r="D571"/>
  <c r="C571"/>
  <c r="B571"/>
  <c r="AD570"/>
  <c r="Z570"/>
  <c r="U570"/>
  <c r="AO570"/>
  <c r="AZ570"/>
  <c r="AP570"/>
  <c r="AB570"/>
  <c r="X570"/>
  <c r="R570"/>
  <c r="BA570"/>
  <c r="AQ570"/>
  <c r="Q570"/>
  <c r="AN570"/>
  <c r="K568"/>
  <c r="H568"/>
  <c r="E568"/>
  <c r="AT568"/>
  <c r="AS568"/>
  <c r="G568"/>
  <c r="D568"/>
  <c r="B568"/>
  <c r="J566"/>
  <c r="C566"/>
  <c r="J565"/>
  <c r="C565"/>
  <c r="J564"/>
  <c r="C564"/>
  <c r="J563"/>
  <c r="C563"/>
  <c r="J562"/>
  <c r="C562"/>
  <c r="J561"/>
  <c r="C561"/>
  <c r="L560"/>
  <c r="AD544"/>
  <c r="Z544"/>
  <c r="U544"/>
  <c r="AO544"/>
  <c r="AZ544"/>
  <c r="AP544"/>
  <c r="AB544"/>
  <c r="X544"/>
  <c r="R544"/>
  <c r="BA544"/>
  <c r="AQ544"/>
  <c r="Q544"/>
  <c r="AN544"/>
  <c r="K541"/>
  <c r="H541"/>
  <c r="AT541"/>
  <c r="AS541"/>
  <c r="D541"/>
  <c r="C541"/>
  <c r="B541"/>
  <c r="AD540"/>
  <c r="P540"/>
  <c r="AY540"/>
  <c r="AZ540"/>
  <c r="BA540"/>
  <c r="AX540"/>
  <c r="G539"/>
  <c r="E539"/>
  <c r="G538"/>
  <c r="E538"/>
  <c r="AY536"/>
  <c r="AX536"/>
  <c r="H536"/>
  <c r="E536"/>
  <c r="BD536"/>
  <c r="BC536"/>
  <c r="D536"/>
  <c r="B536"/>
  <c r="F534"/>
  <c r="E534"/>
  <c r="F533"/>
  <c r="E533"/>
  <c r="H532"/>
  <c r="K531"/>
  <c r="I531"/>
  <c r="H531"/>
  <c r="I530"/>
  <c r="H530"/>
  <c r="K529"/>
  <c r="I529"/>
  <c r="H529"/>
  <c r="BD526"/>
  <c r="BC526"/>
  <c r="D526"/>
  <c r="B526"/>
  <c r="AD525"/>
  <c r="P525"/>
  <c r="AY525"/>
  <c r="AZ525"/>
  <c r="BA525"/>
  <c r="AX525"/>
  <c r="G524"/>
  <c r="E524"/>
  <c r="G523"/>
  <c r="E523"/>
  <c r="AY521"/>
  <c r="AX521"/>
  <c r="H521"/>
  <c r="E521"/>
  <c r="BD521"/>
  <c r="BC521"/>
  <c r="D521"/>
  <c r="B521"/>
  <c r="F519"/>
  <c r="E519"/>
  <c r="F518"/>
  <c r="E518"/>
  <c r="H517"/>
  <c r="K516"/>
  <c r="I516"/>
  <c r="H516"/>
  <c r="I515"/>
  <c r="H515"/>
  <c r="K514"/>
  <c r="I514"/>
  <c r="H514"/>
  <c r="BD511"/>
  <c r="BC511"/>
  <c r="D511"/>
  <c r="B511"/>
  <c r="AD510"/>
  <c r="Z510"/>
  <c r="U510"/>
  <c r="AO510"/>
  <c r="AZ510"/>
  <c r="AP510"/>
  <c r="AB510"/>
  <c r="X510"/>
  <c r="R510"/>
  <c r="BA510"/>
  <c r="AQ510"/>
  <c r="Q510"/>
  <c r="AN510"/>
  <c r="K507"/>
  <c r="H507"/>
  <c r="AT507"/>
  <c r="AS507"/>
  <c r="D507"/>
  <c r="B507"/>
  <c r="AD506"/>
  <c r="U506"/>
  <c r="P506"/>
  <c r="AY506"/>
  <c r="AZ506"/>
  <c r="R506"/>
  <c r="BA506"/>
  <c r="AQ506"/>
  <c r="Q506"/>
  <c r="AX506"/>
  <c r="G505"/>
  <c r="E505"/>
  <c r="G504"/>
  <c r="E504"/>
  <c r="F501"/>
  <c r="E501"/>
  <c r="H500"/>
  <c r="K499"/>
  <c r="I499"/>
  <c r="H499"/>
  <c r="I498"/>
  <c r="H498"/>
  <c r="H502" s="1"/>
  <c r="BD495"/>
  <c r="BC495"/>
  <c r="D495"/>
  <c r="B495"/>
  <c r="AD494"/>
  <c r="Z494"/>
  <c r="U494"/>
  <c r="AO494"/>
  <c r="AZ494"/>
  <c r="AP494"/>
  <c r="AB494"/>
  <c r="X494"/>
  <c r="R494"/>
  <c r="BA494"/>
  <c r="AQ494"/>
  <c r="Q494"/>
  <c r="AN494"/>
  <c r="K491"/>
  <c r="H491"/>
  <c r="AT491"/>
  <c r="AS491"/>
  <c r="D491"/>
  <c r="C491"/>
  <c r="B491"/>
  <c r="AD490"/>
  <c r="U490"/>
  <c r="P490"/>
  <c r="AY490"/>
  <c r="AZ490"/>
  <c r="R490"/>
  <c r="BA490"/>
  <c r="AQ490"/>
  <c r="Q490"/>
  <c r="AX490"/>
  <c r="G489"/>
  <c r="E489"/>
  <c r="G488"/>
  <c r="E488"/>
  <c r="AY486"/>
  <c r="AX486"/>
  <c r="H486"/>
  <c r="F486"/>
  <c r="E486"/>
  <c r="BD486"/>
  <c r="BC486"/>
  <c r="D486"/>
  <c r="B486"/>
  <c r="F484"/>
  <c r="E484"/>
  <c r="I483"/>
  <c r="H483"/>
  <c r="K482"/>
  <c r="I482"/>
  <c r="H482"/>
  <c r="I481"/>
  <c r="H481"/>
  <c r="H485" s="1"/>
  <c r="BD478"/>
  <c r="BC478"/>
  <c r="D478"/>
  <c r="B478"/>
  <c r="AD477"/>
  <c r="P477"/>
  <c r="AY477"/>
  <c r="AZ477"/>
  <c r="BA477"/>
  <c r="AX477"/>
  <c r="G476"/>
  <c r="E476"/>
  <c r="G475"/>
  <c r="E475"/>
  <c r="AY473"/>
  <c r="AX473"/>
  <c r="H473"/>
  <c r="E473"/>
  <c r="BD473"/>
  <c r="BC473"/>
  <c r="D473"/>
  <c r="B473"/>
  <c r="AY472"/>
  <c r="AX472"/>
  <c r="H472"/>
  <c r="E472"/>
  <c r="BD472"/>
  <c r="BC472"/>
  <c r="D472"/>
  <c r="B472"/>
  <c r="F470"/>
  <c r="E470"/>
  <c r="F469"/>
  <c r="E469"/>
  <c r="H468"/>
  <c r="K467"/>
  <c r="I467"/>
  <c r="H467"/>
  <c r="I466"/>
  <c r="H466"/>
  <c r="K465"/>
  <c r="I465"/>
  <c r="H465"/>
  <c r="BD462"/>
  <c r="BC462"/>
  <c r="D462"/>
  <c r="B462"/>
  <c r="AE461"/>
  <c r="AA461"/>
  <c r="W461"/>
  <c r="P461"/>
  <c r="AF461"/>
  <c r="AY461"/>
  <c r="AO461"/>
  <c r="Y461"/>
  <c r="R461"/>
  <c r="V461"/>
  <c r="BI461"/>
  <c r="BB461"/>
  <c r="H459"/>
  <c r="H460" s="1"/>
  <c r="E457"/>
  <c r="BD457"/>
  <c r="BC457"/>
  <c r="G457"/>
  <c r="D457"/>
  <c r="C457"/>
  <c r="B457"/>
  <c r="AE456"/>
  <c r="AA456"/>
  <c r="W456"/>
  <c r="P456"/>
  <c r="AF456"/>
  <c r="AY456"/>
  <c r="AO456"/>
  <c r="Y456"/>
  <c r="R456"/>
  <c r="V456"/>
  <c r="BI456"/>
  <c r="BB456"/>
  <c r="E454"/>
  <c r="E453"/>
  <c r="H452"/>
  <c r="H455" s="1"/>
  <c r="BD449"/>
  <c r="BC449"/>
  <c r="D449"/>
  <c r="C449"/>
  <c r="B449"/>
  <c r="AD448"/>
  <c r="P448"/>
  <c r="AF448"/>
  <c r="AY448"/>
  <c r="AO448"/>
  <c r="AZ448"/>
  <c r="BA448"/>
  <c r="AX448"/>
  <c r="G447"/>
  <c r="E447"/>
  <c r="G446"/>
  <c r="E446"/>
  <c r="F443"/>
  <c r="E443"/>
  <c r="F442"/>
  <c r="E442"/>
  <c r="K441"/>
  <c r="I441"/>
  <c r="H441"/>
  <c r="I440"/>
  <c r="H440"/>
  <c r="K439"/>
  <c r="I439"/>
  <c r="H439"/>
  <c r="BD436"/>
  <c r="BC436"/>
  <c r="D436"/>
  <c r="B436"/>
  <c r="AD435"/>
  <c r="P435"/>
  <c r="AF435"/>
  <c r="AY435"/>
  <c r="AO435"/>
  <c r="AZ435"/>
  <c r="BA435"/>
  <c r="AX435"/>
  <c r="G434"/>
  <c r="E434"/>
  <c r="G433"/>
  <c r="E433"/>
  <c r="F430"/>
  <c r="E430"/>
  <c r="F429"/>
  <c r="E429"/>
  <c r="K428"/>
  <c r="I428"/>
  <c r="H428"/>
  <c r="I427"/>
  <c r="H427"/>
  <c r="K426"/>
  <c r="I426"/>
  <c r="H426"/>
  <c r="BD423"/>
  <c r="BC423"/>
  <c r="D423"/>
  <c r="B423"/>
  <c r="J420"/>
  <c r="C420"/>
  <c r="J419"/>
  <c r="C419"/>
  <c r="J418"/>
  <c r="C418"/>
  <c r="J417"/>
  <c r="C417"/>
  <c r="J416"/>
  <c r="C416"/>
  <c r="J415"/>
  <c r="C415"/>
  <c r="L414"/>
  <c r="L413"/>
  <c r="AD398"/>
  <c r="Z398"/>
  <c r="U398"/>
  <c r="P398"/>
  <c r="AO398"/>
  <c r="AZ398"/>
  <c r="AP398"/>
  <c r="AB398"/>
  <c r="X398"/>
  <c r="R398"/>
  <c r="BA398"/>
  <c r="AQ398"/>
  <c r="Q398"/>
  <c r="AN398"/>
  <c r="H395"/>
  <c r="AT395"/>
  <c r="AS395"/>
  <c r="D395"/>
  <c r="C395"/>
  <c r="B395"/>
  <c r="AD394"/>
  <c r="P394"/>
  <c r="AY394"/>
  <c r="AZ394"/>
  <c r="BA394"/>
  <c r="AX394"/>
  <c r="G393"/>
  <c r="E393"/>
  <c r="G392"/>
  <c r="E392"/>
  <c r="F389"/>
  <c r="E389"/>
  <c r="F388"/>
  <c r="E388"/>
  <c r="H387"/>
  <c r="K386"/>
  <c r="I386"/>
  <c r="H386"/>
  <c r="I385"/>
  <c r="H385"/>
  <c r="K384"/>
  <c r="I384"/>
  <c r="H384"/>
  <c r="BD381"/>
  <c r="BC381"/>
  <c r="D381"/>
  <c r="B381"/>
  <c r="AD380"/>
  <c r="P380"/>
  <c r="AY380"/>
  <c r="AZ380"/>
  <c r="BA380"/>
  <c r="AX380"/>
  <c r="G379"/>
  <c r="E379"/>
  <c r="G378"/>
  <c r="E378"/>
  <c r="E375"/>
  <c r="E374"/>
  <c r="H373"/>
  <c r="K372"/>
  <c r="H372"/>
  <c r="H371"/>
  <c r="K370"/>
  <c r="H370"/>
  <c r="BD367"/>
  <c r="BC367"/>
  <c r="D367"/>
  <c r="C367"/>
  <c r="B367"/>
  <c r="J364"/>
  <c r="C364"/>
  <c r="J363"/>
  <c r="C363"/>
  <c r="J362"/>
  <c r="C362"/>
  <c r="J361"/>
  <c r="C361"/>
  <c r="J360"/>
  <c r="C360"/>
  <c r="L359"/>
  <c r="L358"/>
  <c r="AD343"/>
  <c r="Z343"/>
  <c r="P343"/>
  <c r="AO343"/>
  <c r="AP343"/>
  <c r="X343"/>
  <c r="AQ343"/>
  <c r="AN343"/>
  <c r="G342"/>
  <c r="E342"/>
  <c r="G341"/>
  <c r="E341"/>
  <c r="F338"/>
  <c r="E338"/>
  <c r="H337"/>
  <c r="I336"/>
  <c r="H336"/>
  <c r="K335"/>
  <c r="I335"/>
  <c r="H335"/>
  <c r="E333"/>
  <c r="AT333"/>
  <c r="AS333"/>
  <c r="G333"/>
  <c r="D333"/>
  <c r="B333"/>
  <c r="AD332"/>
  <c r="Z332"/>
  <c r="P332"/>
  <c r="AO332"/>
  <c r="AZ332"/>
  <c r="AP332"/>
  <c r="AB332"/>
  <c r="X332"/>
  <c r="AQ332"/>
  <c r="AN332"/>
  <c r="G331"/>
  <c r="E331"/>
  <c r="G330"/>
  <c r="E330"/>
  <c r="AO328"/>
  <c r="AN328"/>
  <c r="H328"/>
  <c r="E328"/>
  <c r="AT328"/>
  <c r="AS328"/>
  <c r="D328"/>
  <c r="B328"/>
  <c r="F326"/>
  <c r="E326"/>
  <c r="H325"/>
  <c r="K324"/>
  <c r="I324"/>
  <c r="H324"/>
  <c r="E322"/>
  <c r="AT322"/>
  <c r="AS322"/>
  <c r="G322"/>
  <c r="D322"/>
  <c r="B322"/>
  <c r="AD321"/>
  <c r="P321"/>
  <c r="AO321"/>
  <c r="AP321"/>
  <c r="AQ321"/>
  <c r="AN321"/>
  <c r="G320"/>
  <c r="E320"/>
  <c r="G319"/>
  <c r="E319"/>
  <c r="F316"/>
  <c r="E316"/>
  <c r="F315"/>
  <c r="E315"/>
  <c r="H314"/>
  <c r="K313"/>
  <c r="I313"/>
  <c r="H313"/>
  <c r="I312"/>
  <c r="H312"/>
  <c r="K311"/>
  <c r="I311"/>
  <c r="H311"/>
  <c r="E309"/>
  <c r="AT309"/>
  <c r="AS309"/>
  <c r="G309"/>
  <c r="D309"/>
  <c r="B309"/>
  <c r="AD308"/>
  <c r="Z308"/>
  <c r="P308"/>
  <c r="AO308"/>
  <c r="AZ308"/>
  <c r="AP308"/>
  <c r="AB308"/>
  <c r="X308"/>
  <c r="AQ308"/>
  <c r="AN308"/>
  <c r="G307"/>
  <c r="E307"/>
  <c r="G306"/>
  <c r="E306"/>
  <c r="F303"/>
  <c r="E303"/>
  <c r="H302"/>
  <c r="K301"/>
  <c r="I301"/>
  <c r="H301"/>
  <c r="C300"/>
  <c r="AT298"/>
  <c r="AS298"/>
  <c r="D298"/>
  <c r="B298"/>
  <c r="AD297"/>
  <c r="P297"/>
  <c r="AO297"/>
  <c r="AP297"/>
  <c r="AQ297"/>
  <c r="AN297"/>
  <c r="G296"/>
  <c r="E296"/>
  <c r="G295"/>
  <c r="E295"/>
  <c r="F292"/>
  <c r="E292"/>
  <c r="G291"/>
  <c r="F291"/>
  <c r="E291"/>
  <c r="H290"/>
  <c r="K289"/>
  <c r="I289"/>
  <c r="H289"/>
  <c r="I288"/>
  <c r="H288"/>
  <c r="K287"/>
  <c r="I287"/>
  <c r="H287"/>
  <c r="E285"/>
  <c r="AT285"/>
  <c r="AS285"/>
  <c r="G285"/>
  <c r="D285"/>
  <c r="B285"/>
  <c r="AD284"/>
  <c r="Z284"/>
  <c r="P284"/>
  <c r="AO284"/>
  <c r="AZ284"/>
  <c r="AP284"/>
  <c r="AB284"/>
  <c r="X284"/>
  <c r="AQ284"/>
  <c r="AN284"/>
  <c r="G283"/>
  <c r="E283"/>
  <c r="G282"/>
  <c r="E282"/>
  <c r="F279"/>
  <c r="E279"/>
  <c r="H278"/>
  <c r="K277"/>
  <c r="I277"/>
  <c r="H277"/>
  <c r="AT274"/>
  <c r="AS274"/>
  <c r="D274"/>
  <c r="B274"/>
  <c r="AD273"/>
  <c r="P273"/>
  <c r="AO273"/>
  <c r="AP273"/>
  <c r="AQ273"/>
  <c r="AN273"/>
  <c r="G272"/>
  <c r="E272"/>
  <c r="G271"/>
  <c r="E271"/>
  <c r="F268"/>
  <c r="E268"/>
  <c r="F267"/>
  <c r="E267"/>
  <c r="H266"/>
  <c r="K265"/>
  <c r="I265"/>
  <c r="H265"/>
  <c r="I264"/>
  <c r="H264"/>
  <c r="K263"/>
  <c r="I263"/>
  <c r="H263"/>
  <c r="AT260"/>
  <c r="AS260"/>
  <c r="D260"/>
  <c r="B260"/>
  <c r="AD259"/>
  <c r="P259"/>
  <c r="AO259"/>
  <c r="AP259"/>
  <c r="AQ259"/>
  <c r="AN259"/>
  <c r="G258"/>
  <c r="E258"/>
  <c r="G257"/>
  <c r="E257"/>
  <c r="F254"/>
  <c r="E254"/>
  <c r="F253"/>
  <c r="E253"/>
  <c r="H252"/>
  <c r="K251"/>
  <c r="I251"/>
  <c r="H251"/>
  <c r="I250"/>
  <c r="H250"/>
  <c r="K249"/>
  <c r="I249"/>
  <c r="H249"/>
  <c r="AT246"/>
  <c r="AS246"/>
  <c r="G246"/>
  <c r="D246"/>
  <c r="B246"/>
  <c r="AD245"/>
  <c r="P245"/>
  <c r="AO245"/>
  <c r="AP245"/>
  <c r="AQ245"/>
  <c r="AN245"/>
  <c r="G244"/>
  <c r="E244"/>
  <c r="G243"/>
  <c r="E243"/>
  <c r="F240"/>
  <c r="E240"/>
  <c r="F239"/>
  <c r="E239"/>
  <c r="H238"/>
  <c r="K237"/>
  <c r="I237"/>
  <c r="H237"/>
  <c r="I236"/>
  <c r="H236"/>
  <c r="K235"/>
  <c r="I235"/>
  <c r="H235"/>
  <c r="AT232"/>
  <c r="AS232"/>
  <c r="D232"/>
  <c r="B232"/>
  <c r="AD231"/>
  <c r="P231"/>
  <c r="AO231"/>
  <c r="AP231"/>
  <c r="AQ231"/>
  <c r="AN231"/>
  <c r="G230"/>
  <c r="E230"/>
  <c r="G229"/>
  <c r="E229"/>
  <c r="F226"/>
  <c r="E226"/>
  <c r="F225"/>
  <c r="E225"/>
  <c r="H224"/>
  <c r="K223"/>
  <c r="I223"/>
  <c r="H223"/>
  <c r="I222"/>
  <c r="H222"/>
  <c r="K221"/>
  <c r="I221"/>
  <c r="H221"/>
  <c r="AT218"/>
  <c r="AS218"/>
  <c r="G218"/>
  <c r="D218"/>
  <c r="B218"/>
  <c r="AD217"/>
  <c r="P217"/>
  <c r="AO217"/>
  <c r="AP217"/>
  <c r="AQ217"/>
  <c r="AN217"/>
  <c r="G216"/>
  <c r="E216"/>
  <c r="G215"/>
  <c r="E215"/>
  <c r="F212"/>
  <c r="E212"/>
  <c r="F211"/>
  <c r="E211"/>
  <c r="H210"/>
  <c r="K209"/>
  <c r="I209"/>
  <c r="H209"/>
  <c r="I208"/>
  <c r="H208"/>
  <c r="K207"/>
  <c r="I207"/>
  <c r="H207"/>
  <c r="AT204"/>
  <c r="AS204"/>
  <c r="D204"/>
  <c r="B204"/>
  <c r="AD203"/>
  <c r="P203"/>
  <c r="AO203"/>
  <c r="AP203"/>
  <c r="AQ203"/>
  <c r="AN203"/>
  <c r="G202"/>
  <c r="E202"/>
  <c r="G201"/>
  <c r="E201"/>
  <c r="F198"/>
  <c r="E198"/>
  <c r="F197"/>
  <c r="E197"/>
  <c r="H196"/>
  <c r="K195"/>
  <c r="I195"/>
  <c r="H195"/>
  <c r="I194"/>
  <c r="H194"/>
  <c r="K193"/>
  <c r="I193"/>
  <c r="H193"/>
  <c r="AT190"/>
  <c r="AS190"/>
  <c r="D190"/>
  <c r="B190"/>
  <c r="AD189"/>
  <c r="Z189"/>
  <c r="P189"/>
  <c r="AO189"/>
  <c r="AP189"/>
  <c r="X189"/>
  <c r="AQ189"/>
  <c r="AN189"/>
  <c r="G188"/>
  <c r="E188"/>
  <c r="G187"/>
  <c r="E187"/>
  <c r="F184"/>
  <c r="E184"/>
  <c r="F183"/>
  <c r="E183"/>
  <c r="H182"/>
  <c r="I181"/>
  <c r="H181"/>
  <c r="K180"/>
  <c r="I180"/>
  <c r="H180"/>
  <c r="AT177"/>
  <c r="AS177"/>
  <c r="D177"/>
  <c r="B177"/>
  <c r="AD176"/>
  <c r="Z176"/>
  <c r="P176"/>
  <c r="AO176"/>
  <c r="AP176"/>
  <c r="X176"/>
  <c r="AQ176"/>
  <c r="AN176"/>
  <c r="G175"/>
  <c r="E175"/>
  <c r="G174"/>
  <c r="E174"/>
  <c r="F171"/>
  <c r="E171"/>
  <c r="H170"/>
  <c r="I169"/>
  <c r="H169"/>
  <c r="K168"/>
  <c r="I168"/>
  <c r="H168"/>
  <c r="AT165"/>
  <c r="AS165"/>
  <c r="D165"/>
  <c r="B165"/>
  <c r="J162"/>
  <c r="C162"/>
  <c r="J161"/>
  <c r="C161"/>
  <c r="J160"/>
  <c r="C160"/>
  <c r="J159"/>
  <c r="C159"/>
  <c r="J158"/>
  <c r="C158"/>
  <c r="L157"/>
  <c r="L156"/>
  <c r="AD141"/>
  <c r="Z141"/>
  <c r="P141"/>
  <c r="AY141"/>
  <c r="AZ141"/>
  <c r="AP141"/>
  <c r="AB141"/>
  <c r="X141"/>
  <c r="BA141"/>
  <c r="AX141"/>
  <c r="G140"/>
  <c r="E140"/>
  <c r="G139"/>
  <c r="E139"/>
  <c r="F136"/>
  <c r="E136"/>
  <c r="H135"/>
  <c r="K134"/>
  <c r="I134"/>
  <c r="H134"/>
  <c r="BD131"/>
  <c r="BC131"/>
  <c r="D131"/>
  <c r="B131"/>
  <c r="AD130"/>
  <c r="Z130"/>
  <c r="P130"/>
  <c r="AY130"/>
  <c r="AZ130"/>
  <c r="AP130"/>
  <c r="AB130"/>
  <c r="X130"/>
  <c r="BA130"/>
  <c r="AX130"/>
  <c r="G129"/>
  <c r="E129"/>
  <c r="G128"/>
  <c r="E128"/>
  <c r="F125"/>
  <c r="E125"/>
  <c r="H124"/>
  <c r="K123"/>
  <c r="I123"/>
  <c r="H123"/>
  <c r="E120"/>
  <c r="BD120"/>
  <c r="BC120"/>
  <c r="D120"/>
  <c r="B120"/>
  <c r="AD119"/>
  <c r="P119"/>
  <c r="AY119"/>
  <c r="AZ119"/>
  <c r="BA119"/>
  <c r="AX119"/>
  <c r="G118"/>
  <c r="E118"/>
  <c r="G117"/>
  <c r="E117"/>
  <c r="F114"/>
  <c r="E114"/>
  <c r="F113"/>
  <c r="E113"/>
  <c r="H112"/>
  <c r="K111"/>
  <c r="I111"/>
  <c r="H111"/>
  <c r="I110"/>
  <c r="H110"/>
  <c r="K109"/>
  <c r="I109"/>
  <c r="H109"/>
  <c r="E107"/>
  <c r="BD107"/>
  <c r="BC107"/>
  <c r="G107"/>
  <c r="D107"/>
  <c r="B107"/>
  <c r="AE106"/>
  <c r="AA106"/>
  <c r="W106"/>
  <c r="P106"/>
  <c r="AF106"/>
  <c r="AY106"/>
  <c r="AO106"/>
  <c r="Y106"/>
  <c r="R106"/>
  <c r="V106"/>
  <c r="BI106"/>
  <c r="BB106"/>
  <c r="H104"/>
  <c r="H105" s="1"/>
  <c r="E102"/>
  <c r="BD102"/>
  <c r="BC102"/>
  <c r="G102"/>
  <c r="D102"/>
  <c r="C102"/>
  <c r="B102"/>
  <c r="AE101"/>
  <c r="AA101"/>
  <c r="W101"/>
  <c r="P101"/>
  <c r="AF101"/>
  <c r="AY101"/>
  <c r="AO101"/>
  <c r="Y101"/>
  <c r="R101"/>
  <c r="V101"/>
  <c r="BI101"/>
  <c r="BB101"/>
  <c r="E99"/>
  <c r="H98"/>
  <c r="H100" s="1"/>
  <c r="E96"/>
  <c r="BD96"/>
  <c r="BC96"/>
  <c r="G96"/>
  <c r="D96"/>
  <c r="C96"/>
  <c r="B96"/>
  <c r="AD95"/>
  <c r="Z95"/>
  <c r="P95"/>
  <c r="AF95"/>
  <c r="AY95"/>
  <c r="AO95"/>
  <c r="AZ95"/>
  <c r="AP95"/>
  <c r="AB95"/>
  <c r="X95"/>
  <c r="BA95"/>
  <c r="AX95"/>
  <c r="G94"/>
  <c r="E94"/>
  <c r="G93"/>
  <c r="E93"/>
  <c r="F90"/>
  <c r="E90"/>
  <c r="K89"/>
  <c r="I89"/>
  <c r="H89"/>
  <c r="H91" s="1"/>
  <c r="BD86"/>
  <c r="BC86"/>
  <c r="D86"/>
  <c r="B86"/>
  <c r="AD85"/>
  <c r="U85"/>
  <c r="P85"/>
  <c r="AF85"/>
  <c r="AY85"/>
  <c r="AO85"/>
  <c r="AZ85"/>
  <c r="R85"/>
  <c r="BA85"/>
  <c r="AQ85"/>
  <c r="Q85"/>
  <c r="AX85"/>
  <c r="G84"/>
  <c r="E84"/>
  <c r="G83"/>
  <c r="E83"/>
  <c r="F80"/>
  <c r="E80"/>
  <c r="K79"/>
  <c r="I79"/>
  <c r="H79"/>
  <c r="I78"/>
  <c r="H78"/>
  <c r="H81" s="1"/>
  <c r="BD75"/>
  <c r="BC75"/>
  <c r="D75"/>
  <c r="B75"/>
  <c r="AD74"/>
  <c r="Z74"/>
  <c r="P74"/>
  <c r="AF74"/>
  <c r="AY74"/>
  <c r="AO74"/>
  <c r="AZ74"/>
  <c r="AP74"/>
  <c r="AB74"/>
  <c r="X74"/>
  <c r="BA74"/>
  <c r="AX74"/>
  <c r="G73"/>
  <c r="E73"/>
  <c r="G72"/>
  <c r="E72"/>
  <c r="G69"/>
  <c r="F69"/>
  <c r="E69"/>
  <c r="K68"/>
  <c r="I68"/>
  <c r="H68"/>
  <c r="H70" s="1"/>
  <c r="BD65"/>
  <c r="BC65"/>
  <c r="D65"/>
  <c r="B65"/>
  <c r="AD64"/>
  <c r="P64"/>
  <c r="AF64"/>
  <c r="AY64"/>
  <c r="AO64"/>
  <c r="AZ64"/>
  <c r="BA64"/>
  <c r="AX64"/>
  <c r="G63"/>
  <c r="E63"/>
  <c r="G62"/>
  <c r="E62"/>
  <c r="F59"/>
  <c r="E59"/>
  <c r="F58"/>
  <c r="E58"/>
  <c r="K57"/>
  <c r="I57"/>
  <c r="H57"/>
  <c r="I56"/>
  <c r="H56"/>
  <c r="K55"/>
  <c r="I55"/>
  <c r="H55"/>
  <c r="BD52"/>
  <c r="BC52"/>
  <c r="D52"/>
  <c r="B52"/>
  <c r="AD51"/>
  <c r="Z51"/>
  <c r="P51"/>
  <c r="AF51"/>
  <c r="AY51"/>
  <c r="AO51"/>
  <c r="AZ51"/>
  <c r="AP51"/>
  <c r="AB51"/>
  <c r="X51"/>
  <c r="BA51"/>
  <c r="AX51"/>
  <c r="G50"/>
  <c r="E50"/>
  <c r="G49"/>
  <c r="E49"/>
  <c r="F46"/>
  <c r="E46"/>
  <c r="K45"/>
  <c r="I45"/>
  <c r="H45"/>
  <c r="H47" s="1"/>
  <c r="BD42"/>
  <c r="BC42"/>
  <c r="D42"/>
  <c r="B42"/>
  <c r="AD41"/>
  <c r="Z41"/>
  <c r="P41"/>
  <c r="AF41"/>
  <c r="AY41"/>
  <c r="AO41"/>
  <c r="AZ41"/>
  <c r="AP41"/>
  <c r="AB41"/>
  <c r="X41"/>
  <c r="BA41"/>
  <c r="AX41"/>
  <c r="G40"/>
  <c r="E40"/>
  <c r="G39"/>
  <c r="E39"/>
  <c r="F36"/>
  <c r="E36"/>
  <c r="K35"/>
  <c r="I35"/>
  <c r="H35"/>
  <c r="H37" s="1"/>
  <c r="BD32"/>
  <c r="BC32"/>
  <c r="D32"/>
  <c r="B32"/>
  <c r="J23"/>
  <c r="I23"/>
  <c r="A1"/>
  <c r="A1" i="4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1" i="3"/>
  <c r="CY1"/>
  <c r="CZ1"/>
  <c r="DA1"/>
  <c r="DB1"/>
  <c r="DC1"/>
  <c r="A2"/>
  <c r="CY2"/>
  <c r="CZ2"/>
  <c r="DB2" s="1"/>
  <c r="DA2"/>
  <c r="DC2"/>
  <c r="A3"/>
  <c r="CY3"/>
  <c r="CZ3"/>
  <c r="DB3" s="1"/>
  <c r="DA3"/>
  <c r="DC3"/>
  <c r="A4"/>
  <c r="CY4"/>
  <c r="CZ4"/>
  <c r="DB4" s="1"/>
  <c r="DA4"/>
  <c r="DC4"/>
  <c r="A5"/>
  <c r="CY5"/>
  <c r="CZ5"/>
  <c r="DA5"/>
  <c r="DB5"/>
  <c r="DC5"/>
  <c r="A6"/>
  <c r="CY6"/>
  <c r="CZ6"/>
  <c r="DB6" s="1"/>
  <c r="DA6"/>
  <c r="DC6"/>
  <c r="A7"/>
  <c r="CY7"/>
  <c r="CZ7"/>
  <c r="DB7" s="1"/>
  <c r="DA7"/>
  <c r="DC7"/>
  <c r="A8"/>
  <c r="CY8"/>
  <c r="CZ8"/>
  <c r="DB8" s="1"/>
  <c r="DA8"/>
  <c r="DC8"/>
  <c r="A9"/>
  <c r="CY9"/>
  <c r="CZ9"/>
  <c r="DA9"/>
  <c r="DB9"/>
  <c r="DC9"/>
  <c r="A10"/>
  <c r="CY10"/>
  <c r="CZ10"/>
  <c r="DA10"/>
  <c r="DB10"/>
  <c r="DC10"/>
  <c r="A11"/>
  <c r="CY11"/>
  <c r="CZ11"/>
  <c r="DB11" s="1"/>
  <c r="DA11"/>
  <c r="DC11"/>
  <c r="A12"/>
  <c r="CY12"/>
  <c r="CZ12"/>
  <c r="DB12" s="1"/>
  <c r="DA12"/>
  <c r="DC12"/>
  <c r="A13"/>
  <c r="CY13"/>
  <c r="CZ13"/>
  <c r="DA13"/>
  <c r="DB13"/>
  <c r="DC13"/>
  <c r="A14"/>
  <c r="CX14"/>
  <c r="CY14"/>
  <c r="CZ14"/>
  <c r="DA14"/>
  <c r="DB14"/>
  <c r="DC14"/>
  <c r="A15"/>
  <c r="CX15"/>
  <c r="CY15"/>
  <c r="CZ15"/>
  <c r="DB15" s="1"/>
  <c r="DA15"/>
  <c r="DC15"/>
  <c r="A16"/>
  <c r="CX16"/>
  <c r="CY16"/>
  <c r="CZ16"/>
  <c r="DB16" s="1"/>
  <c r="DA16"/>
  <c r="DC16"/>
  <c r="A17"/>
  <c r="CX17"/>
  <c r="CY17"/>
  <c r="CZ17"/>
  <c r="DB17" s="1"/>
  <c r="DA17"/>
  <c r="DC17"/>
  <c r="A18"/>
  <c r="CX18"/>
  <c r="CY18"/>
  <c r="CZ18"/>
  <c r="DB18" s="1"/>
  <c r="DA18"/>
  <c r="DC18"/>
  <c r="A19"/>
  <c r="CX19"/>
  <c r="CY19"/>
  <c r="CZ19"/>
  <c r="DB19" s="1"/>
  <c r="DA19"/>
  <c r="DC19"/>
  <c r="A20"/>
  <c r="CX20"/>
  <c r="CY20"/>
  <c r="CZ20"/>
  <c r="DB20" s="1"/>
  <c r="DA20"/>
  <c r="DC20"/>
  <c r="A21"/>
  <c r="CX21"/>
  <c r="CY21"/>
  <c r="CZ21"/>
  <c r="DA21"/>
  <c r="DB21"/>
  <c r="DC21"/>
  <c r="A22"/>
  <c r="CX22"/>
  <c r="CY22"/>
  <c r="CZ22"/>
  <c r="DB22" s="1"/>
  <c r="DA22"/>
  <c r="DC22"/>
  <c r="A23"/>
  <c r="CX23"/>
  <c r="CY23"/>
  <c r="CZ23"/>
  <c r="DB23" s="1"/>
  <c r="DA23"/>
  <c r="DC23"/>
  <c r="A24"/>
  <c r="CX24"/>
  <c r="CY24"/>
  <c r="CZ24"/>
  <c r="DB24" s="1"/>
  <c r="DA24"/>
  <c r="DC24"/>
  <c r="A25"/>
  <c r="CX25"/>
  <c r="CY25"/>
  <c r="CZ25"/>
  <c r="DA25"/>
  <c r="DB25"/>
  <c r="DC25"/>
  <c r="A26"/>
  <c r="CY26"/>
  <c r="CZ26"/>
  <c r="DA26"/>
  <c r="DB26"/>
  <c r="DC26"/>
  <c r="A27"/>
  <c r="CY27"/>
  <c r="CZ27"/>
  <c r="DB27" s="1"/>
  <c r="DA27"/>
  <c r="DC27"/>
  <c r="A28"/>
  <c r="CY28"/>
  <c r="CZ28"/>
  <c r="DB28" s="1"/>
  <c r="DA28"/>
  <c r="DC28"/>
  <c r="A29"/>
  <c r="CY29"/>
  <c r="CZ29"/>
  <c r="DA29"/>
  <c r="DB29"/>
  <c r="DC29"/>
  <c r="A30"/>
  <c r="CY30"/>
  <c r="CZ30"/>
  <c r="DB30" s="1"/>
  <c r="DA30"/>
  <c r="DC30"/>
  <c r="A31"/>
  <c r="CY31"/>
  <c r="CZ31"/>
  <c r="DB31" s="1"/>
  <c r="DA31"/>
  <c r="DC31"/>
  <c r="A32"/>
  <c r="CY32"/>
  <c r="CZ32"/>
  <c r="DB32" s="1"/>
  <c r="DA32"/>
  <c r="DC32"/>
  <c r="A33"/>
  <c r="CY33"/>
  <c r="CZ33"/>
  <c r="DB33" s="1"/>
  <c r="DA33"/>
  <c r="DC33"/>
  <c r="A34"/>
  <c r="CY34"/>
  <c r="CZ34"/>
  <c r="DA34"/>
  <c r="DB34"/>
  <c r="DC34"/>
  <c r="A35"/>
  <c r="CY35"/>
  <c r="CZ35"/>
  <c r="DB35" s="1"/>
  <c r="DA35"/>
  <c r="DC35"/>
  <c r="A36"/>
  <c r="CY36"/>
  <c r="CZ36"/>
  <c r="DB36" s="1"/>
  <c r="DA36"/>
  <c r="DC36"/>
  <c r="A37"/>
  <c r="CY37"/>
  <c r="CZ37"/>
  <c r="DA37"/>
  <c r="DB37"/>
  <c r="DC37"/>
  <c r="A38"/>
  <c r="CY38"/>
  <c r="CZ38"/>
  <c r="DA38"/>
  <c r="DB38"/>
  <c r="DC38"/>
  <c r="A39"/>
  <c r="CY39"/>
  <c r="CZ39"/>
  <c r="DB39" s="1"/>
  <c r="DA39"/>
  <c r="DC39"/>
  <c r="A40"/>
  <c r="CY40"/>
  <c r="CZ40"/>
  <c r="DB40" s="1"/>
  <c r="DA40"/>
  <c r="DC40"/>
  <c r="A41"/>
  <c r="CY41"/>
  <c r="CZ41"/>
  <c r="DB41" s="1"/>
  <c r="DA41"/>
  <c r="DC41"/>
  <c r="A42"/>
  <c r="CY42"/>
  <c r="CZ42"/>
  <c r="DA42"/>
  <c r="DB42"/>
  <c r="DC42"/>
  <c r="A43"/>
  <c r="CY43"/>
  <c r="CZ43"/>
  <c r="DB43" s="1"/>
  <c r="DA43"/>
  <c r="DC43"/>
  <c r="A44"/>
  <c r="CY44"/>
  <c r="CZ44"/>
  <c r="DB44" s="1"/>
  <c r="DA44"/>
  <c r="DC44"/>
  <c r="A45"/>
  <c r="CY45"/>
  <c r="CZ45"/>
  <c r="DA45"/>
  <c r="DB45"/>
  <c r="DC45"/>
  <c r="A46"/>
  <c r="CY46"/>
  <c r="CZ46"/>
  <c r="DB46" s="1"/>
  <c r="DA46"/>
  <c r="DC46"/>
  <c r="A47"/>
  <c r="CY47"/>
  <c r="CZ47"/>
  <c r="DB47" s="1"/>
  <c r="DA47"/>
  <c r="DC47"/>
  <c r="A48"/>
  <c r="CY48"/>
  <c r="CZ48"/>
  <c r="DB48" s="1"/>
  <c r="DA48"/>
  <c r="DC48"/>
  <c r="A49"/>
  <c r="CY49"/>
  <c r="CZ49"/>
  <c r="DA49"/>
  <c r="DB49"/>
  <c r="DC49"/>
  <c r="A50"/>
  <c r="CY50"/>
  <c r="CZ50"/>
  <c r="DA50"/>
  <c r="DB50"/>
  <c r="DC50"/>
  <c r="A51"/>
  <c r="CY51"/>
  <c r="CZ51"/>
  <c r="DB51" s="1"/>
  <c r="DA51"/>
  <c r="DC51"/>
  <c r="A52"/>
  <c r="CY52"/>
  <c r="CZ52"/>
  <c r="DB52" s="1"/>
  <c r="DA52"/>
  <c r="DC52"/>
  <c r="A53"/>
  <c r="CY53"/>
  <c r="CZ53"/>
  <c r="DA53"/>
  <c r="DB53"/>
  <c r="DC53"/>
  <c r="A54"/>
  <c r="CY54"/>
  <c r="CZ54"/>
  <c r="DB54" s="1"/>
  <c r="DA54"/>
  <c r="DC54"/>
  <c r="A55"/>
  <c r="CY55"/>
  <c r="CZ55"/>
  <c r="DB55" s="1"/>
  <c r="DA55"/>
  <c r="DC55"/>
  <c r="A56"/>
  <c r="CY56"/>
  <c r="CZ56"/>
  <c r="DB56" s="1"/>
  <c r="DA56"/>
  <c r="DC56"/>
  <c r="A57"/>
  <c r="CY57"/>
  <c r="CZ57"/>
  <c r="DB57" s="1"/>
  <c r="DA57"/>
  <c r="DC57"/>
  <c r="A58"/>
  <c r="CY58"/>
  <c r="CZ58"/>
  <c r="DA58"/>
  <c r="DB58"/>
  <c r="DC58"/>
  <c r="A59"/>
  <c r="CY59"/>
  <c r="CZ59"/>
  <c r="DB59" s="1"/>
  <c r="DA59"/>
  <c r="DC59"/>
  <c r="A60"/>
  <c r="CY60"/>
  <c r="CZ60"/>
  <c r="DB60" s="1"/>
  <c r="DA60"/>
  <c r="DC60"/>
  <c r="A61"/>
  <c r="CY61"/>
  <c r="CZ61"/>
  <c r="DA61"/>
  <c r="DB61"/>
  <c r="DC61"/>
  <c r="A62"/>
  <c r="CY62"/>
  <c r="CZ62"/>
  <c r="DA62"/>
  <c r="DB62"/>
  <c r="DC62"/>
  <c r="A63"/>
  <c r="CY63"/>
  <c r="CZ63"/>
  <c r="DB63" s="1"/>
  <c r="DA63"/>
  <c r="DC63"/>
  <c r="A64"/>
  <c r="CY64"/>
  <c r="CZ64"/>
  <c r="DB64" s="1"/>
  <c r="DA64"/>
  <c r="DC64"/>
  <c r="A65"/>
  <c r="CY65"/>
  <c r="CZ65"/>
  <c r="DB65" s="1"/>
  <c r="DA65"/>
  <c r="DC65"/>
  <c r="A66"/>
  <c r="CY66"/>
  <c r="CZ66"/>
  <c r="DA66"/>
  <c r="DB66"/>
  <c r="DC66"/>
  <c r="A67"/>
  <c r="CY67"/>
  <c r="CZ67"/>
  <c r="DB67" s="1"/>
  <c r="DA67"/>
  <c r="DC67"/>
  <c r="A68"/>
  <c r="CY68"/>
  <c r="CZ68"/>
  <c r="DB68" s="1"/>
  <c r="DA68"/>
  <c r="DC68"/>
  <c r="A69"/>
  <c r="CY69"/>
  <c r="CZ69"/>
  <c r="DA69"/>
  <c r="DB69"/>
  <c r="DC69"/>
  <c r="A70"/>
  <c r="CY70"/>
  <c r="CZ70"/>
  <c r="DB70" s="1"/>
  <c r="DA70"/>
  <c r="DC70"/>
  <c r="A71"/>
  <c r="CY71"/>
  <c r="CZ71"/>
  <c r="DB71" s="1"/>
  <c r="DA71"/>
  <c r="DC71"/>
  <c r="A72"/>
  <c r="CY72"/>
  <c r="CZ72"/>
  <c r="DB72" s="1"/>
  <c r="DA72"/>
  <c r="DC72"/>
  <c r="A73"/>
  <c r="CY73"/>
  <c r="CZ73"/>
  <c r="DA73"/>
  <c r="DB73"/>
  <c r="DC73"/>
  <c r="A74"/>
  <c r="CY74"/>
  <c r="CZ74"/>
  <c r="DA74"/>
  <c r="DB74"/>
  <c r="DC74"/>
  <c r="A75"/>
  <c r="CY75"/>
  <c r="CZ75"/>
  <c r="DB75" s="1"/>
  <c r="DA75"/>
  <c r="DC75"/>
  <c r="A76"/>
  <c r="CY76"/>
  <c r="CZ76"/>
  <c r="DB76" s="1"/>
  <c r="DA76"/>
  <c r="DC76"/>
  <c r="A77"/>
  <c r="CY77"/>
  <c r="CZ77"/>
  <c r="DA77"/>
  <c r="DB77"/>
  <c r="DC77"/>
  <c r="A78"/>
  <c r="CY78"/>
  <c r="CZ78"/>
  <c r="DB78" s="1"/>
  <c r="DA78"/>
  <c r="DC78"/>
  <c r="A79"/>
  <c r="CY79"/>
  <c r="CZ79"/>
  <c r="DB79" s="1"/>
  <c r="DA79"/>
  <c r="DC79"/>
  <c r="A80"/>
  <c r="CY80"/>
  <c r="CZ80"/>
  <c r="DB80" s="1"/>
  <c r="DA80"/>
  <c r="DC80"/>
  <c r="A81"/>
  <c r="CY81"/>
  <c r="CZ81"/>
  <c r="DB81" s="1"/>
  <c r="DA81"/>
  <c r="DC81"/>
  <c r="A82"/>
  <c r="CY82"/>
  <c r="CZ82"/>
  <c r="DA82"/>
  <c r="DB82"/>
  <c r="DC82"/>
  <c r="A83"/>
  <c r="CY83"/>
  <c r="CZ83"/>
  <c r="DB83" s="1"/>
  <c r="DA83"/>
  <c r="DC83"/>
  <c r="A84"/>
  <c r="CY84"/>
  <c r="CZ84"/>
  <c r="DB84" s="1"/>
  <c r="DA84"/>
  <c r="DC84"/>
  <c r="A85"/>
  <c r="CY85"/>
  <c r="CZ85"/>
  <c r="DA85"/>
  <c r="DB85"/>
  <c r="DC85"/>
  <c r="A86"/>
  <c r="CY86"/>
  <c r="CZ86"/>
  <c r="DA86"/>
  <c r="DB86"/>
  <c r="DC86"/>
  <c r="A87"/>
  <c r="CY87"/>
  <c r="CZ87"/>
  <c r="DB87" s="1"/>
  <c r="DA87"/>
  <c r="DC87"/>
  <c r="A88"/>
  <c r="CY88"/>
  <c r="CZ88"/>
  <c r="DB88" s="1"/>
  <c r="DA88"/>
  <c r="DC88"/>
  <c r="A89"/>
  <c r="CY89"/>
  <c r="CZ89"/>
  <c r="DB89" s="1"/>
  <c r="DA89"/>
  <c r="DC89"/>
  <c r="A90"/>
  <c r="CY90"/>
  <c r="CZ90"/>
  <c r="DA90"/>
  <c r="DB90"/>
  <c r="DC90"/>
  <c r="A91"/>
  <c r="CY91"/>
  <c r="CZ91"/>
  <c r="DB91" s="1"/>
  <c r="DA91"/>
  <c r="DC91"/>
  <c r="A92"/>
  <c r="CY92"/>
  <c r="CZ92"/>
  <c r="DB92" s="1"/>
  <c r="DA92"/>
  <c r="DC92"/>
  <c r="A93"/>
  <c r="CY93"/>
  <c r="CZ93"/>
  <c r="DA93"/>
  <c r="DB93"/>
  <c r="DC93"/>
  <c r="A94"/>
  <c r="CY94"/>
  <c r="CZ94"/>
  <c r="DB94" s="1"/>
  <c r="DA94"/>
  <c r="DC94"/>
  <c r="A95"/>
  <c r="CY95"/>
  <c r="CZ95"/>
  <c r="DB95" s="1"/>
  <c r="DA95"/>
  <c r="DC95"/>
  <c r="A96"/>
  <c r="CX96"/>
  <c r="CY96"/>
  <c r="CZ96"/>
  <c r="DB96" s="1"/>
  <c r="DA96"/>
  <c r="DC96"/>
  <c r="A97"/>
  <c r="CX97"/>
  <c r="CY97"/>
  <c r="CZ97"/>
  <c r="DA97"/>
  <c r="DB97"/>
  <c r="DC97"/>
  <c r="A98"/>
  <c r="CX98"/>
  <c r="CY98"/>
  <c r="CZ98"/>
  <c r="DB98" s="1"/>
  <c r="DA98"/>
  <c r="DC98"/>
  <c r="A99"/>
  <c r="CX99"/>
  <c r="CY99"/>
  <c r="CZ99"/>
  <c r="DB99" s="1"/>
  <c r="DA99"/>
  <c r="DC99"/>
  <c r="A100"/>
  <c r="CX100"/>
  <c r="CY100"/>
  <c r="CZ100"/>
  <c r="DB100" s="1"/>
  <c r="DA100"/>
  <c r="DC100"/>
  <c r="A101"/>
  <c r="CX101"/>
  <c r="CY101"/>
  <c r="CZ101"/>
  <c r="DB101" s="1"/>
  <c r="DA101"/>
  <c r="DC101"/>
  <c r="A102"/>
  <c r="CX102"/>
  <c r="CY102"/>
  <c r="CZ102"/>
  <c r="DB102" s="1"/>
  <c r="DA102"/>
  <c r="DC102"/>
  <c r="A103"/>
  <c r="CY103"/>
  <c r="CZ103"/>
  <c r="DB103" s="1"/>
  <c r="DA103"/>
  <c r="DC103"/>
  <c r="A104"/>
  <c r="CY104"/>
  <c r="CZ104"/>
  <c r="DB104" s="1"/>
  <c r="DA104"/>
  <c r="DC104"/>
  <c r="A105"/>
  <c r="CY105"/>
  <c r="CZ105"/>
  <c r="DB105" s="1"/>
  <c r="DA105"/>
  <c r="DC105"/>
  <c r="A106"/>
  <c r="CX106"/>
  <c r="CY106"/>
  <c r="CZ106"/>
  <c r="DA106"/>
  <c r="DB106"/>
  <c r="DC106"/>
  <c r="A107"/>
  <c r="CX107"/>
  <c r="CY107"/>
  <c r="CZ107"/>
  <c r="DB107" s="1"/>
  <c r="DA107"/>
  <c r="DC107"/>
  <c r="A108"/>
  <c r="CX108"/>
  <c r="CY108"/>
  <c r="CZ108"/>
  <c r="DB108" s="1"/>
  <c r="DA108"/>
  <c r="DC108"/>
  <c r="A109"/>
  <c r="CX109"/>
  <c r="CY109"/>
  <c r="CZ109"/>
  <c r="DB109" s="1"/>
  <c r="DA109"/>
  <c r="DC109"/>
  <c r="A110"/>
  <c r="CX110"/>
  <c r="CY110"/>
  <c r="CZ110"/>
  <c r="DA110"/>
  <c r="DB110"/>
  <c r="DC110"/>
  <c r="A111"/>
  <c r="CX111"/>
  <c r="CY111"/>
  <c r="CZ111"/>
  <c r="DB111" s="1"/>
  <c r="DA111"/>
  <c r="DC111"/>
  <c r="A112"/>
  <c r="CX112"/>
  <c r="CY112"/>
  <c r="CZ112"/>
  <c r="DB112" s="1"/>
  <c r="DA112"/>
  <c r="DC112"/>
  <c r="A113"/>
  <c r="CX113"/>
  <c r="CY113"/>
  <c r="CZ113"/>
  <c r="DB113" s="1"/>
  <c r="DA113"/>
  <c r="DC113"/>
  <c r="A114"/>
  <c r="CX114"/>
  <c r="CY114"/>
  <c r="CZ114"/>
  <c r="DA114"/>
  <c r="DB114"/>
  <c r="DC114"/>
  <c r="A115"/>
  <c r="CX115"/>
  <c r="CY115"/>
  <c r="CZ115"/>
  <c r="DB115" s="1"/>
  <c r="DA115"/>
  <c r="DC115"/>
  <c r="A116"/>
  <c r="CX116"/>
  <c r="CY116"/>
  <c r="CZ116"/>
  <c r="DB116" s="1"/>
  <c r="DA116"/>
  <c r="DC116"/>
  <c r="A117"/>
  <c r="CX117"/>
  <c r="CY117"/>
  <c r="CZ117"/>
  <c r="DA117"/>
  <c r="DB117"/>
  <c r="DC117"/>
  <c r="A118"/>
  <c r="CX118"/>
  <c r="CY118"/>
  <c r="CZ118"/>
  <c r="DB118" s="1"/>
  <c r="DA118"/>
  <c r="DC118"/>
  <c r="A119"/>
  <c r="CX119"/>
  <c r="CY119"/>
  <c r="CZ119"/>
  <c r="DB119" s="1"/>
  <c r="DA119"/>
  <c r="DC119"/>
  <c r="A120"/>
  <c r="CX120"/>
  <c r="CY120"/>
  <c r="CZ120"/>
  <c r="DB120" s="1"/>
  <c r="DA120"/>
  <c r="DC120"/>
  <c r="A121"/>
  <c r="CX121"/>
  <c r="CY121"/>
  <c r="CZ121"/>
  <c r="DB121" s="1"/>
  <c r="DA121"/>
  <c r="DC121"/>
  <c r="A122"/>
  <c r="CX122"/>
  <c r="CY122"/>
  <c r="CZ122"/>
  <c r="DA122"/>
  <c r="DB122"/>
  <c r="DC122"/>
  <c r="A123"/>
  <c r="CX123"/>
  <c r="CY123"/>
  <c r="CZ123"/>
  <c r="DB123" s="1"/>
  <c r="DA123"/>
  <c r="DC123"/>
  <c r="A124"/>
  <c r="CX124"/>
  <c r="CY124"/>
  <c r="CZ124"/>
  <c r="DB124" s="1"/>
  <c r="DA124"/>
  <c r="DC124"/>
  <c r="A125"/>
  <c r="CX125"/>
  <c r="CY125"/>
  <c r="CZ125"/>
  <c r="DA125"/>
  <c r="DB125"/>
  <c r="DC125"/>
  <c r="A126"/>
  <c r="CX126"/>
  <c r="CY126"/>
  <c r="CZ126"/>
  <c r="DB126" s="1"/>
  <c r="DA126"/>
  <c r="DC126"/>
  <c r="A127"/>
  <c r="CX127"/>
  <c r="CY127"/>
  <c r="CZ127"/>
  <c r="DB127" s="1"/>
  <c r="DA127"/>
  <c r="DC127"/>
  <c r="A128"/>
  <c r="CX128"/>
  <c r="CY128"/>
  <c r="CZ128"/>
  <c r="DB128" s="1"/>
  <c r="DA128"/>
  <c r="DC128"/>
  <c r="A129"/>
  <c r="CX129"/>
  <c r="CY129"/>
  <c r="CZ129"/>
  <c r="DB129" s="1"/>
  <c r="DA129"/>
  <c r="DC129"/>
  <c r="A130"/>
  <c r="CX130"/>
  <c r="CY130"/>
  <c r="CZ130"/>
  <c r="DA130"/>
  <c r="DB130"/>
  <c r="DC130"/>
  <c r="A131"/>
  <c r="CX131"/>
  <c r="CY131"/>
  <c r="CZ131"/>
  <c r="DB131" s="1"/>
  <c r="DA131"/>
  <c r="DC131"/>
  <c r="A132"/>
  <c r="CY132"/>
  <c r="CZ132"/>
  <c r="DB132" s="1"/>
  <c r="DA132"/>
  <c r="DC132"/>
  <c r="A133"/>
  <c r="CY133"/>
  <c r="CZ133"/>
  <c r="DB133" s="1"/>
  <c r="DA133"/>
  <c r="DC133"/>
  <c r="A134"/>
  <c r="CY134"/>
  <c r="CZ134"/>
  <c r="DA134"/>
  <c r="DB134"/>
  <c r="DC134"/>
  <c r="A135"/>
  <c r="CY135"/>
  <c r="CZ135"/>
  <c r="DB135" s="1"/>
  <c r="DA135"/>
  <c r="DC135"/>
  <c r="A136"/>
  <c r="CY136"/>
  <c r="CZ136"/>
  <c r="DB136" s="1"/>
  <c r="DA136"/>
  <c r="DC136"/>
  <c r="A137"/>
  <c r="CY137"/>
  <c r="CZ137"/>
  <c r="DA137"/>
  <c r="DB137"/>
  <c r="DC137"/>
  <c r="A138"/>
  <c r="CY138"/>
  <c r="CZ138"/>
  <c r="DB138" s="1"/>
  <c r="DA138"/>
  <c r="DC138"/>
  <c r="A139"/>
  <c r="CY139"/>
  <c r="CZ139"/>
  <c r="DB139" s="1"/>
  <c r="DA139"/>
  <c r="DC139"/>
  <c r="A140"/>
  <c r="CY140"/>
  <c r="CZ140"/>
  <c r="DB140" s="1"/>
  <c r="DA140"/>
  <c r="DC140"/>
  <c r="A141"/>
  <c r="CY141"/>
  <c r="CZ141"/>
  <c r="DB141" s="1"/>
  <c r="DA141"/>
  <c r="DC141"/>
  <c r="A142"/>
  <c r="CY142"/>
  <c r="CZ142"/>
  <c r="DB142" s="1"/>
  <c r="DA142"/>
  <c r="DC142"/>
  <c r="A143"/>
  <c r="CY143"/>
  <c r="CZ143"/>
  <c r="DB143" s="1"/>
  <c r="DA143"/>
  <c r="DC143"/>
  <c r="A144"/>
  <c r="CY144"/>
  <c r="CZ144"/>
  <c r="DB144" s="1"/>
  <c r="DA144"/>
  <c r="DC144"/>
  <c r="A145"/>
  <c r="CY145"/>
  <c r="CZ145"/>
  <c r="DA145"/>
  <c r="DB145"/>
  <c r="DC145"/>
  <c r="A146"/>
  <c r="CY146"/>
  <c r="CZ146"/>
  <c r="DB146" s="1"/>
  <c r="DA146"/>
  <c r="DC146"/>
  <c r="A147"/>
  <c r="CY147"/>
  <c r="CZ147"/>
  <c r="DB147" s="1"/>
  <c r="DA147"/>
  <c r="DC147"/>
  <c r="A148"/>
  <c r="CY148"/>
  <c r="CZ148"/>
  <c r="DB148" s="1"/>
  <c r="DA148"/>
  <c r="DC148"/>
  <c r="A149"/>
  <c r="CY149"/>
  <c r="CZ149"/>
  <c r="DA149"/>
  <c r="DB149"/>
  <c r="DC149"/>
  <c r="A150"/>
  <c r="CY150"/>
  <c r="CZ150"/>
  <c r="DA150"/>
  <c r="DB150"/>
  <c r="DC150"/>
  <c r="A151"/>
  <c r="CY151"/>
  <c r="CZ151"/>
  <c r="DB151" s="1"/>
  <c r="DA151"/>
  <c r="DC151"/>
  <c r="A152"/>
  <c r="CY152"/>
  <c r="CZ152"/>
  <c r="DB152" s="1"/>
  <c r="DA152"/>
  <c r="DC152"/>
  <c r="A153"/>
  <c r="CY153"/>
  <c r="CZ153"/>
  <c r="DB153" s="1"/>
  <c r="DA153"/>
  <c r="DC153"/>
  <c r="A154"/>
  <c r="CY154"/>
  <c r="CZ154"/>
  <c r="DB154" s="1"/>
  <c r="DA154"/>
  <c r="DC154"/>
  <c r="A155"/>
  <c r="CY155"/>
  <c r="CZ155"/>
  <c r="DB155" s="1"/>
  <c r="DA155"/>
  <c r="DC155"/>
  <c r="A156"/>
  <c r="CY156"/>
  <c r="CZ156"/>
  <c r="DB156" s="1"/>
  <c r="DA156"/>
  <c r="DC156"/>
  <c r="A157"/>
  <c r="CY157"/>
  <c r="CZ157"/>
  <c r="DB157" s="1"/>
  <c r="DA157"/>
  <c r="DC157"/>
  <c r="A158"/>
  <c r="CY158"/>
  <c r="CZ158"/>
  <c r="DA158"/>
  <c r="DB158"/>
  <c r="DC158"/>
  <c r="A159"/>
  <c r="CY159"/>
  <c r="CZ159"/>
  <c r="DB159" s="1"/>
  <c r="DA159"/>
  <c r="DC159"/>
  <c r="A160"/>
  <c r="CY160"/>
  <c r="CZ160"/>
  <c r="DB160" s="1"/>
  <c r="DA160"/>
  <c r="DC160"/>
  <c r="A161"/>
  <c r="CY161"/>
  <c r="CZ161"/>
  <c r="DA161"/>
  <c r="DB161"/>
  <c r="DC161"/>
  <c r="A162"/>
  <c r="CY162"/>
  <c r="CZ162"/>
  <c r="DA162"/>
  <c r="DB162"/>
  <c r="DC162"/>
  <c r="A163"/>
  <c r="CY163"/>
  <c r="CZ163"/>
  <c r="DB163" s="1"/>
  <c r="DA163"/>
  <c r="DC163"/>
  <c r="A164"/>
  <c r="CY164"/>
  <c r="CZ164"/>
  <c r="DB164" s="1"/>
  <c r="DA164"/>
  <c r="DC164"/>
  <c r="A165"/>
  <c r="CY165"/>
  <c r="CZ165"/>
  <c r="DB165" s="1"/>
  <c r="DA165"/>
  <c r="DC165"/>
  <c r="A166"/>
  <c r="CY166"/>
  <c r="CZ166"/>
  <c r="DB166" s="1"/>
  <c r="DA166"/>
  <c r="DC166"/>
  <c r="A167"/>
  <c r="CY167"/>
  <c r="CZ167"/>
  <c r="DB167" s="1"/>
  <c r="DA167"/>
  <c r="DC167"/>
  <c r="A168"/>
  <c r="CY168"/>
  <c r="CZ168"/>
  <c r="DB168" s="1"/>
  <c r="DA168"/>
  <c r="DC168"/>
  <c r="A169"/>
  <c r="CY169"/>
  <c r="CZ169"/>
  <c r="DA169"/>
  <c r="DB169"/>
  <c r="DC169"/>
  <c r="A170"/>
  <c r="CY170"/>
  <c r="CZ170"/>
  <c r="DB170" s="1"/>
  <c r="DA170"/>
  <c r="DC170"/>
  <c r="A171"/>
  <c r="CY171"/>
  <c r="CZ171"/>
  <c r="DB171" s="1"/>
  <c r="DA171"/>
  <c r="DC171"/>
  <c r="A172"/>
  <c r="CY172"/>
  <c r="CZ172"/>
  <c r="DB172" s="1"/>
  <c r="DA172"/>
  <c r="DC172"/>
  <c r="A173"/>
  <c r="CY173"/>
  <c r="CZ173"/>
  <c r="DA173"/>
  <c r="DB173"/>
  <c r="DC173"/>
  <c r="A174"/>
  <c r="CY174"/>
  <c r="CZ174"/>
  <c r="DA174"/>
  <c r="DB174"/>
  <c r="DC174"/>
  <c r="A175"/>
  <c r="CY175"/>
  <c r="CZ175"/>
  <c r="DB175" s="1"/>
  <c r="DA175"/>
  <c r="DC175"/>
  <c r="A176"/>
  <c r="CY176"/>
  <c r="CZ176"/>
  <c r="DB176" s="1"/>
  <c r="DA176"/>
  <c r="DC176"/>
  <c r="A177"/>
  <c r="CY177"/>
  <c r="CZ177"/>
  <c r="DA177"/>
  <c r="DB177"/>
  <c r="DC177"/>
  <c r="A178"/>
  <c r="CY178"/>
  <c r="CZ178"/>
  <c r="DB178" s="1"/>
  <c r="DA178"/>
  <c r="DC178"/>
  <c r="A179"/>
  <c r="CY179"/>
  <c r="CZ179"/>
  <c r="DB179" s="1"/>
  <c r="DA179"/>
  <c r="DC179"/>
  <c r="A180"/>
  <c r="CY180"/>
  <c r="CZ180"/>
  <c r="DB180" s="1"/>
  <c r="DA180"/>
  <c r="DC180"/>
  <c r="A181"/>
  <c r="CY181"/>
  <c r="CZ181"/>
  <c r="DB181" s="1"/>
  <c r="DA181"/>
  <c r="DC181"/>
  <c r="A182"/>
  <c r="CY182"/>
  <c r="CZ182"/>
  <c r="DB182" s="1"/>
  <c r="DA182"/>
  <c r="DC182"/>
  <c r="A183"/>
  <c r="CY183"/>
  <c r="CZ183"/>
  <c r="DB183" s="1"/>
  <c r="DA183"/>
  <c r="DC183"/>
  <c r="A184"/>
  <c r="CY184"/>
  <c r="CZ184"/>
  <c r="DB184" s="1"/>
  <c r="DA184"/>
  <c r="DC184"/>
  <c r="A185"/>
  <c r="CY185"/>
  <c r="CZ185"/>
  <c r="DA185"/>
  <c r="DB185"/>
  <c r="DC185"/>
  <c r="A186"/>
  <c r="CY186"/>
  <c r="CZ186"/>
  <c r="DA186"/>
  <c r="DB186"/>
  <c r="DC186"/>
  <c r="A187"/>
  <c r="CY187"/>
  <c r="CZ187"/>
  <c r="DB187" s="1"/>
  <c r="DA187"/>
  <c r="DC187"/>
  <c r="A188"/>
  <c r="CY188"/>
  <c r="CZ188"/>
  <c r="DB188" s="1"/>
  <c r="DA188"/>
  <c r="DC188"/>
  <c r="A189"/>
  <c r="CY189"/>
  <c r="CZ189"/>
  <c r="DB189" s="1"/>
  <c r="DA189"/>
  <c r="DC189"/>
  <c r="A190"/>
  <c r="CY190"/>
  <c r="CZ190"/>
  <c r="DA190"/>
  <c r="DB190"/>
  <c r="DC190"/>
  <c r="A191"/>
  <c r="CY191"/>
  <c r="CZ191"/>
  <c r="DB191" s="1"/>
  <c r="DA191"/>
  <c r="DC191"/>
  <c r="A192"/>
  <c r="CY192"/>
  <c r="CZ192"/>
  <c r="DB192" s="1"/>
  <c r="DA192"/>
  <c r="DC192"/>
  <c r="A193"/>
  <c r="CY193"/>
  <c r="CZ193"/>
  <c r="DA193"/>
  <c r="DB193"/>
  <c r="DC193"/>
  <c r="A194"/>
  <c r="CY194"/>
  <c r="CZ194"/>
  <c r="DB194" s="1"/>
  <c r="DA194"/>
  <c r="DC194"/>
  <c r="A195"/>
  <c r="CY195"/>
  <c r="CZ195"/>
  <c r="DB195" s="1"/>
  <c r="DA195"/>
  <c r="DC195"/>
  <c r="A196"/>
  <c r="CY196"/>
  <c r="CZ196"/>
  <c r="DB196" s="1"/>
  <c r="DA196"/>
  <c r="DC196"/>
  <c r="A197"/>
  <c r="CY197"/>
  <c r="CZ197"/>
  <c r="DA197"/>
  <c r="DB197"/>
  <c r="DC197"/>
  <c r="A198"/>
  <c r="CY198"/>
  <c r="CZ198"/>
  <c r="DA198"/>
  <c r="DB198"/>
  <c r="DC198"/>
  <c r="A199"/>
  <c r="CY199"/>
  <c r="CZ199"/>
  <c r="DB199" s="1"/>
  <c r="DA199"/>
  <c r="DC199"/>
  <c r="A200"/>
  <c r="CY200"/>
  <c r="CZ200"/>
  <c r="DB200" s="1"/>
  <c r="DA200"/>
  <c r="DC200"/>
  <c r="A201"/>
  <c r="CY201"/>
  <c r="CZ201"/>
  <c r="DA201"/>
  <c r="DB201"/>
  <c r="DC201"/>
  <c r="A202"/>
  <c r="CY202"/>
  <c r="CZ202"/>
  <c r="DB202" s="1"/>
  <c r="DA202"/>
  <c r="DC202"/>
  <c r="A203"/>
  <c r="CY203"/>
  <c r="CZ203"/>
  <c r="DB203" s="1"/>
  <c r="DA203"/>
  <c r="DC203"/>
  <c r="A204"/>
  <c r="CY204"/>
  <c r="CZ204"/>
  <c r="DB204" s="1"/>
  <c r="DA204"/>
  <c r="DC204"/>
  <c r="A205"/>
  <c r="CY205"/>
  <c r="CZ205"/>
  <c r="DB205" s="1"/>
  <c r="DA205"/>
  <c r="DC205"/>
  <c r="A206"/>
  <c r="CY206"/>
  <c r="CZ206"/>
  <c r="DB206" s="1"/>
  <c r="DA206"/>
  <c r="DC206"/>
  <c r="A207"/>
  <c r="CY207"/>
  <c r="CZ207"/>
  <c r="DB207" s="1"/>
  <c r="DA207"/>
  <c r="DC207"/>
  <c r="A208"/>
  <c r="CY208"/>
  <c r="CZ208"/>
  <c r="DB208" s="1"/>
  <c r="DA208"/>
  <c r="DC208"/>
  <c r="A209"/>
  <c r="CY209"/>
  <c r="CZ209"/>
  <c r="DA209"/>
  <c r="DB209"/>
  <c r="DC209"/>
  <c r="A210"/>
  <c r="CY210"/>
  <c r="CZ210"/>
  <c r="DB210" s="1"/>
  <c r="DA210"/>
  <c r="DC210"/>
  <c r="A211"/>
  <c r="CY211"/>
  <c r="CZ211"/>
  <c r="DB211" s="1"/>
  <c r="DA211"/>
  <c r="DC211"/>
  <c r="A212"/>
  <c r="CY212"/>
  <c r="CZ212"/>
  <c r="DB212" s="1"/>
  <c r="DA212"/>
  <c r="DC212"/>
  <c r="A213"/>
  <c r="CY213"/>
  <c r="CZ213"/>
  <c r="DB213" s="1"/>
  <c r="DA213"/>
  <c r="DC213"/>
  <c r="A214"/>
  <c r="CY214"/>
  <c r="CZ214"/>
  <c r="DA214"/>
  <c r="DB214"/>
  <c r="DC214"/>
  <c r="A215"/>
  <c r="CY215"/>
  <c r="CZ215"/>
  <c r="DB215" s="1"/>
  <c r="DA215"/>
  <c r="DC215"/>
  <c r="A216"/>
  <c r="CY216"/>
  <c r="CZ216"/>
  <c r="DB216" s="1"/>
  <c r="DA216"/>
  <c r="DC216"/>
  <c r="A217"/>
  <c r="CY217"/>
  <c r="CZ217"/>
  <c r="DA217"/>
  <c r="DB217"/>
  <c r="DC217"/>
  <c r="A218"/>
  <c r="CY218"/>
  <c r="CZ218"/>
  <c r="DB218" s="1"/>
  <c r="DA218"/>
  <c r="DC218"/>
  <c r="A219"/>
  <c r="CY219"/>
  <c r="CZ219"/>
  <c r="DB219" s="1"/>
  <c r="DA219"/>
  <c r="DC219"/>
  <c r="A220"/>
  <c r="CY220"/>
  <c r="CZ220"/>
  <c r="DB220" s="1"/>
  <c r="DA220"/>
  <c r="DC220"/>
  <c r="A221"/>
  <c r="CY221"/>
  <c r="CZ221"/>
  <c r="DA221"/>
  <c r="DB221"/>
  <c r="DC221"/>
  <c r="A222"/>
  <c r="CY222"/>
  <c r="CZ222"/>
  <c r="DA222"/>
  <c r="DB222"/>
  <c r="DC222"/>
  <c r="A223"/>
  <c r="CY223"/>
  <c r="CZ223"/>
  <c r="DB223" s="1"/>
  <c r="DA223"/>
  <c r="DC223"/>
  <c r="A224"/>
  <c r="CY224"/>
  <c r="CZ224"/>
  <c r="DB224" s="1"/>
  <c r="DA224"/>
  <c r="DC224"/>
  <c r="A225"/>
  <c r="CY225"/>
  <c r="CZ225"/>
  <c r="DA225"/>
  <c r="DB225"/>
  <c r="DC225"/>
  <c r="A226"/>
  <c r="CY226"/>
  <c r="CZ226"/>
  <c r="DB226" s="1"/>
  <c r="DA226"/>
  <c r="DC226"/>
  <c r="A227"/>
  <c r="CY227"/>
  <c r="CZ227"/>
  <c r="DB227" s="1"/>
  <c r="DA227"/>
  <c r="DC227"/>
  <c r="A228"/>
  <c r="CY228"/>
  <c r="CZ228"/>
  <c r="DB228" s="1"/>
  <c r="DA228"/>
  <c r="DC228"/>
  <c r="A229"/>
  <c r="CY229"/>
  <c r="CZ229"/>
  <c r="DB229" s="1"/>
  <c r="DA229"/>
  <c r="DC229"/>
  <c r="A230"/>
  <c r="CY230"/>
  <c r="CZ230"/>
  <c r="DB230" s="1"/>
  <c r="DA230"/>
  <c r="DC230"/>
  <c r="A231"/>
  <c r="CY231"/>
  <c r="CZ231"/>
  <c r="DB231" s="1"/>
  <c r="DA231"/>
  <c r="DC231"/>
  <c r="A232"/>
  <c r="CY232"/>
  <c r="CZ232"/>
  <c r="DB232" s="1"/>
  <c r="DA232"/>
  <c r="DC232"/>
  <c r="A233"/>
  <c r="CY233"/>
  <c r="CZ233"/>
  <c r="DA233"/>
  <c r="DB233"/>
  <c r="DC233"/>
  <c r="A234"/>
  <c r="CY234"/>
  <c r="CZ234"/>
  <c r="DB234" s="1"/>
  <c r="DA234"/>
  <c r="DC234"/>
  <c r="A235"/>
  <c r="CY235"/>
  <c r="CZ235"/>
  <c r="DB235" s="1"/>
  <c r="DA235"/>
  <c r="DC235"/>
  <c r="A236"/>
  <c r="CX236"/>
  <c r="CY236"/>
  <c r="CZ236"/>
  <c r="DB236" s="1"/>
  <c r="DA236"/>
  <c r="DC236"/>
  <c r="A237"/>
  <c r="CX237"/>
  <c r="CY237"/>
  <c r="CZ237"/>
  <c r="DA237"/>
  <c r="DB237"/>
  <c r="DC237"/>
  <c r="A238"/>
  <c r="CX238"/>
  <c r="CY238"/>
  <c r="CZ238"/>
  <c r="DB238" s="1"/>
  <c r="DA238"/>
  <c r="DC238"/>
  <c r="A239"/>
  <c r="CX239"/>
  <c r="CY239"/>
  <c r="CZ239"/>
  <c r="DB239" s="1"/>
  <c r="DA239"/>
  <c r="DC239"/>
  <c r="A240"/>
  <c r="CX240"/>
  <c r="CY240"/>
  <c r="CZ240"/>
  <c r="DB240" s="1"/>
  <c r="DA240"/>
  <c r="DC240"/>
  <c r="A241"/>
  <c r="CX241"/>
  <c r="CY241"/>
  <c r="CZ241"/>
  <c r="DB241" s="1"/>
  <c r="DA241"/>
  <c r="DC241"/>
  <c r="D12" i="1"/>
  <c r="E18"/>
  <c r="Z18"/>
  <c r="AA18"/>
  <c r="AB18"/>
  <c r="AC18"/>
  <c r="AD18"/>
  <c r="AE18"/>
  <c r="AF18"/>
  <c r="AG18"/>
  <c r="AH18"/>
  <c r="AI18"/>
  <c r="AJ18"/>
  <c r="AK18"/>
  <c r="AL18"/>
  <c r="AM18"/>
  <c r="AN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BZ18"/>
  <c r="CA18"/>
  <c r="CB18"/>
  <c r="CC18"/>
  <c r="CD18"/>
  <c r="CE18"/>
  <c r="CF18"/>
  <c r="CG18"/>
  <c r="CH18"/>
  <c r="CI18"/>
  <c r="CJ18"/>
  <c r="CK18"/>
  <c r="CL18"/>
  <c r="CM18"/>
  <c r="CN18"/>
  <c r="CO18"/>
  <c r="CP18"/>
  <c r="CQ18"/>
  <c r="CR18"/>
  <c r="CS18"/>
  <c r="CT18"/>
  <c r="CU18"/>
  <c r="CV18"/>
  <c r="CW18"/>
  <c r="CX18"/>
  <c r="CY18"/>
  <c r="CZ18"/>
  <c r="DA18"/>
  <c r="DB18"/>
  <c r="DC18"/>
  <c r="DD18"/>
  <c r="DE18"/>
  <c r="DF18"/>
  <c r="DG18"/>
  <c r="DH18"/>
  <c r="DI18"/>
  <c r="DJ18"/>
  <c r="DK18"/>
  <c r="DL18"/>
  <c r="DM18"/>
  <c r="DN18"/>
  <c r="DO18"/>
  <c r="DP18"/>
  <c r="DQ18"/>
  <c r="DR18"/>
  <c r="DS18"/>
  <c r="DT18"/>
  <c r="DU18"/>
  <c r="DV18"/>
  <c r="DW18"/>
  <c r="DX18"/>
  <c r="DY18"/>
  <c r="DZ18"/>
  <c r="EA18"/>
  <c r="EB18"/>
  <c r="EC18"/>
  <c r="ED18"/>
  <c r="EE18"/>
  <c r="EF18"/>
  <c r="EG18"/>
  <c r="EH18"/>
  <c r="EI18"/>
  <c r="EJ18"/>
  <c r="EK18"/>
  <c r="EL18"/>
  <c r="EM18"/>
  <c r="EN18"/>
  <c r="EO18"/>
  <c r="EP18"/>
  <c r="EQ18"/>
  <c r="ER18"/>
  <c r="ES18"/>
  <c r="ET18"/>
  <c r="EU18"/>
  <c r="EV18"/>
  <c r="EW18"/>
  <c r="EX18"/>
  <c r="EY18"/>
  <c r="EZ18"/>
  <c r="FA18"/>
  <c r="FB18"/>
  <c r="FC18"/>
  <c r="FD18"/>
  <c r="FE18"/>
  <c r="FF18"/>
  <c r="FG18"/>
  <c r="FH18"/>
  <c r="FI18"/>
  <c r="FJ18"/>
  <c r="FK18"/>
  <c r="FL18"/>
  <c r="FM18"/>
  <c r="FN18"/>
  <c r="FO18"/>
  <c r="FP18"/>
  <c r="FQ18"/>
  <c r="FR18"/>
  <c r="FS18"/>
  <c r="FT18"/>
  <c r="FU18"/>
  <c r="FV18"/>
  <c r="FW18"/>
  <c r="FX18"/>
  <c r="FY18"/>
  <c r="FZ18"/>
  <c r="GA18"/>
  <c r="GB18"/>
  <c r="GC18"/>
  <c r="GD18"/>
  <c r="GE18"/>
  <c r="GF18"/>
  <c r="GG18"/>
  <c r="GH18"/>
  <c r="GI18"/>
  <c r="GJ18"/>
  <c r="GK18"/>
  <c r="GL18"/>
  <c r="GM18"/>
  <c r="GN18"/>
  <c r="GO18"/>
  <c r="GP18"/>
  <c r="GQ18"/>
  <c r="GR18"/>
  <c r="GS18"/>
  <c r="GT18"/>
  <c r="GU18"/>
  <c r="GV18"/>
  <c r="GW18"/>
  <c r="GX18"/>
  <c r="D20"/>
  <c r="E22"/>
  <c r="Z22"/>
  <c r="AA22"/>
  <c r="AB22"/>
  <c r="AC22"/>
  <c r="AD22"/>
  <c r="AE22"/>
  <c r="AF22"/>
  <c r="AG22"/>
  <c r="AH22"/>
  <c r="AI22"/>
  <c r="AJ22"/>
  <c r="AK22"/>
  <c r="AL22"/>
  <c r="AM22"/>
  <c r="AN22"/>
  <c r="BE22"/>
  <c r="BF22"/>
  <c r="BG22"/>
  <c r="BH22"/>
  <c r="BI22"/>
  <c r="BJ22"/>
  <c r="BK22"/>
  <c r="BL22"/>
  <c r="BM22"/>
  <c r="BN22"/>
  <c r="BO22"/>
  <c r="BP22"/>
  <c r="BQ22"/>
  <c r="BR22"/>
  <c r="BS22"/>
  <c r="BT22"/>
  <c r="BU22"/>
  <c r="BV22"/>
  <c r="BW22"/>
  <c r="BX22"/>
  <c r="BY22"/>
  <c r="BZ22"/>
  <c r="CA22"/>
  <c r="CB22"/>
  <c r="CC22"/>
  <c r="CD22"/>
  <c r="CE22"/>
  <c r="CF22"/>
  <c r="CG22"/>
  <c r="CH22"/>
  <c r="CI22"/>
  <c r="CJ22"/>
  <c r="CK22"/>
  <c r="CL22"/>
  <c r="CM22"/>
  <c r="CN22"/>
  <c r="CO22"/>
  <c r="CP22"/>
  <c r="CQ22"/>
  <c r="CR22"/>
  <c r="CS22"/>
  <c r="CT22"/>
  <c r="CU22"/>
  <c r="CV22"/>
  <c r="CW22"/>
  <c r="CX22"/>
  <c r="CY22"/>
  <c r="CZ22"/>
  <c r="DA22"/>
  <c r="DB22"/>
  <c r="DC22"/>
  <c r="DD22"/>
  <c r="DE22"/>
  <c r="DF22"/>
  <c r="DG22"/>
  <c r="DH22"/>
  <c r="DI22"/>
  <c r="DJ22"/>
  <c r="DK22"/>
  <c r="DL22"/>
  <c r="DM22"/>
  <c r="DN22"/>
  <c r="DO22"/>
  <c r="DP22"/>
  <c r="DQ22"/>
  <c r="DR22"/>
  <c r="DS22"/>
  <c r="DT22"/>
  <c r="DU22"/>
  <c r="DV22"/>
  <c r="DW22"/>
  <c r="DX22"/>
  <c r="DY22"/>
  <c r="DZ22"/>
  <c r="EA22"/>
  <c r="EB22"/>
  <c r="EC22"/>
  <c r="ED22"/>
  <c r="EE22"/>
  <c r="EF22"/>
  <c r="EG22"/>
  <c r="EH22"/>
  <c r="EI22"/>
  <c r="EJ22"/>
  <c r="EK22"/>
  <c r="EL22"/>
  <c r="EM22"/>
  <c r="EN22"/>
  <c r="EO22"/>
  <c r="EP22"/>
  <c r="EQ22"/>
  <c r="ER22"/>
  <c r="ES22"/>
  <c r="ET22"/>
  <c r="EU22"/>
  <c r="EV22"/>
  <c r="EW22"/>
  <c r="EX22"/>
  <c r="EY22"/>
  <c r="EZ22"/>
  <c r="FA22"/>
  <c r="FB22"/>
  <c r="FC22"/>
  <c r="FD22"/>
  <c r="FE22"/>
  <c r="FF22"/>
  <c r="FG22"/>
  <c r="FH22"/>
  <c r="FI22"/>
  <c r="FJ22"/>
  <c r="FK22"/>
  <c r="FL22"/>
  <c r="FM22"/>
  <c r="FN22"/>
  <c r="FO22"/>
  <c r="FP22"/>
  <c r="FQ22"/>
  <c r="FR22"/>
  <c r="FS22"/>
  <c r="FT22"/>
  <c r="FU22"/>
  <c r="FV22"/>
  <c r="FW22"/>
  <c r="FX22"/>
  <c r="FY22"/>
  <c r="FZ22"/>
  <c r="GA22"/>
  <c r="GB22"/>
  <c r="GC22"/>
  <c r="GD22"/>
  <c r="GE22"/>
  <c r="GF22"/>
  <c r="GG22"/>
  <c r="GH22"/>
  <c r="GI22"/>
  <c r="GJ22"/>
  <c r="GK22"/>
  <c r="GL22"/>
  <c r="GM22"/>
  <c r="GN22"/>
  <c r="GO22"/>
  <c r="GP22"/>
  <c r="GQ22"/>
  <c r="GR22"/>
  <c r="GS22"/>
  <c r="GT22"/>
  <c r="GU22"/>
  <c r="GV22"/>
  <c r="GW22"/>
  <c r="GX22"/>
  <c r="D24"/>
  <c r="E26"/>
  <c r="Z26"/>
  <c r="AA26"/>
  <c r="AM26"/>
  <c r="AN26"/>
  <c r="BE26"/>
  <c r="BF26"/>
  <c r="BG26"/>
  <c r="BH26"/>
  <c r="BI26"/>
  <c r="BJ26"/>
  <c r="BK26"/>
  <c r="BL26"/>
  <c r="BM26"/>
  <c r="BN26"/>
  <c r="BO26"/>
  <c r="BP26"/>
  <c r="BQ26"/>
  <c r="BR26"/>
  <c r="BS26"/>
  <c r="BT26"/>
  <c r="BU26"/>
  <c r="BV26"/>
  <c r="BW26"/>
  <c r="CN26"/>
  <c r="CO26"/>
  <c r="CP26"/>
  <c r="CQ26"/>
  <c r="CR26"/>
  <c r="CS26"/>
  <c r="CT26"/>
  <c r="CU26"/>
  <c r="CV26"/>
  <c r="CW26"/>
  <c r="CX26"/>
  <c r="CY26"/>
  <c r="CZ26"/>
  <c r="DA26"/>
  <c r="DB26"/>
  <c r="DC26"/>
  <c r="DD26"/>
  <c r="DE26"/>
  <c r="DF26"/>
  <c r="DG26"/>
  <c r="DH26"/>
  <c r="DI26"/>
  <c r="DJ26"/>
  <c r="DK26"/>
  <c r="DL26"/>
  <c r="DM26"/>
  <c r="DN26"/>
  <c r="DO26"/>
  <c r="DP26"/>
  <c r="DQ26"/>
  <c r="DR26"/>
  <c r="DS26"/>
  <c r="DT26"/>
  <c r="DU26"/>
  <c r="DV26"/>
  <c r="DW26"/>
  <c r="DX26"/>
  <c r="DY26"/>
  <c r="DZ26"/>
  <c r="EA26"/>
  <c r="EB26"/>
  <c r="EC26"/>
  <c r="ED26"/>
  <c r="EE26"/>
  <c r="EF26"/>
  <c r="EG26"/>
  <c r="EH26"/>
  <c r="EI26"/>
  <c r="EJ26"/>
  <c r="EK26"/>
  <c r="EL26"/>
  <c r="EM26"/>
  <c r="EN26"/>
  <c r="EO26"/>
  <c r="EP26"/>
  <c r="EQ26"/>
  <c r="ER26"/>
  <c r="ES26"/>
  <c r="ET26"/>
  <c r="EU26"/>
  <c r="EV26"/>
  <c r="EW26"/>
  <c r="EX26"/>
  <c r="EY26"/>
  <c r="EZ26"/>
  <c r="FA26"/>
  <c r="FB26"/>
  <c r="FC26"/>
  <c r="FD26"/>
  <c r="FE26"/>
  <c r="FF26"/>
  <c r="FG26"/>
  <c r="FH26"/>
  <c r="FI26"/>
  <c r="FJ26"/>
  <c r="FK26"/>
  <c r="FL26"/>
  <c r="FM26"/>
  <c r="FN26"/>
  <c r="FO26"/>
  <c r="FP26"/>
  <c r="FQ26"/>
  <c r="FR26"/>
  <c r="FS26"/>
  <c r="FT26"/>
  <c r="FU26"/>
  <c r="FV26"/>
  <c r="FW26"/>
  <c r="FX26"/>
  <c r="FY26"/>
  <c r="FZ26"/>
  <c r="GA26"/>
  <c r="GB26"/>
  <c r="GC26"/>
  <c r="GD26"/>
  <c r="GE26"/>
  <c r="GF26"/>
  <c r="GG26"/>
  <c r="GH26"/>
  <c r="GI26"/>
  <c r="GJ26"/>
  <c r="GK26"/>
  <c r="GL26"/>
  <c r="GM26"/>
  <c r="GN26"/>
  <c r="GO26"/>
  <c r="GP26"/>
  <c r="GQ26"/>
  <c r="GR26"/>
  <c r="GS26"/>
  <c r="GT26"/>
  <c r="GU26"/>
  <c r="GV26"/>
  <c r="GW26"/>
  <c r="GX26"/>
  <c r="C28"/>
  <c r="D28"/>
  <c r="I28"/>
  <c r="K28"/>
  <c r="E32" i="5" s="1"/>
  <c r="AC28" i="1"/>
  <c r="AE28"/>
  <c r="AD28" s="1"/>
  <c r="CR28" s="1"/>
  <c r="Q28" s="1"/>
  <c r="AF28"/>
  <c r="J35" i="5" s="1"/>
  <c r="Q41" s="1"/>
  <c r="AG28" i="1"/>
  <c r="AH28"/>
  <c r="CV28" s="1"/>
  <c r="AI28"/>
  <c r="AJ28"/>
  <c r="CX28" s="1"/>
  <c r="W28" s="1"/>
  <c r="CQ28"/>
  <c r="CS28"/>
  <c r="CT28"/>
  <c r="CU28"/>
  <c r="T28" s="1"/>
  <c r="CW28"/>
  <c r="FR28"/>
  <c r="GL28"/>
  <c r="GO28"/>
  <c r="GP28"/>
  <c r="GV28"/>
  <c r="HC28" s="1"/>
  <c r="C29"/>
  <c r="D29"/>
  <c r="I29"/>
  <c r="CX3" i="3" s="1"/>
  <c r="K29" i="1"/>
  <c r="AC29"/>
  <c r="AD29"/>
  <c r="CR29" s="1"/>
  <c r="AE29"/>
  <c r="AF29"/>
  <c r="J45" i="5" s="1"/>
  <c r="Q51" s="1"/>
  <c r="AG29" i="1"/>
  <c r="AH29"/>
  <c r="CV29" s="1"/>
  <c r="AI29"/>
  <c r="AJ29"/>
  <c r="CS29"/>
  <c r="CT29"/>
  <c r="S29" s="1"/>
  <c r="CU29"/>
  <c r="T29" s="1"/>
  <c r="CW29"/>
  <c r="V29" s="1"/>
  <c r="CX29"/>
  <c r="FR29"/>
  <c r="GL29"/>
  <c r="GO29"/>
  <c r="GP29"/>
  <c r="GV29"/>
  <c r="HC29" s="1"/>
  <c r="C30"/>
  <c r="D30"/>
  <c r="I30"/>
  <c r="CX5" i="3" s="1"/>
  <c r="K30" i="1"/>
  <c r="C54" i="5" s="1"/>
  <c r="AC30" i="1"/>
  <c r="AD30"/>
  <c r="AE30"/>
  <c r="CS30" s="1"/>
  <c r="R30" s="1"/>
  <c r="HI30" s="1"/>
  <c r="L57" i="5" s="1"/>
  <c r="Z64" s="1"/>
  <c r="AF30" i="1"/>
  <c r="CT30" s="1"/>
  <c r="S30" s="1"/>
  <c r="AG30"/>
  <c r="AH30"/>
  <c r="CV30" s="1"/>
  <c r="U30" s="1"/>
  <c r="G58" i="5" s="1"/>
  <c r="AI30" i="1"/>
  <c r="AJ30"/>
  <c r="CU30"/>
  <c r="T30" s="1"/>
  <c r="CW30"/>
  <c r="V30" s="1"/>
  <c r="G59" i="5" s="1"/>
  <c r="CX30" i="1"/>
  <c r="W30" s="1"/>
  <c r="FR30"/>
  <c r="GL30"/>
  <c r="GO30"/>
  <c r="GP30"/>
  <c r="GV30"/>
  <c r="HC30" s="1"/>
  <c r="GX30" s="1"/>
  <c r="C31"/>
  <c r="D31"/>
  <c r="I31"/>
  <c r="CX9" i="3" s="1"/>
  <c r="K31" i="1"/>
  <c r="C67" i="5" s="1"/>
  <c r="AC31" i="1"/>
  <c r="AD31"/>
  <c r="CR31" s="1"/>
  <c r="Q31" s="1"/>
  <c r="AE31"/>
  <c r="CS31" s="1"/>
  <c r="R31" s="1"/>
  <c r="HI31" s="1"/>
  <c r="AF31"/>
  <c r="J68" i="5" s="1"/>
  <c r="Q74" s="1"/>
  <c r="J71" s="1"/>
  <c r="AG31" i="1"/>
  <c r="CU31" s="1"/>
  <c r="T31" s="1"/>
  <c r="AH31"/>
  <c r="CV31" s="1"/>
  <c r="U31" s="1"/>
  <c r="AI31"/>
  <c r="AJ31"/>
  <c r="CW31"/>
  <c r="V31" s="1"/>
  <c r="CX31"/>
  <c r="W31" s="1"/>
  <c r="FR31"/>
  <c r="BY40" s="1"/>
  <c r="GL31"/>
  <c r="GO31"/>
  <c r="GP31"/>
  <c r="GV31"/>
  <c r="HC31" s="1"/>
  <c r="GX31" s="1"/>
  <c r="C32"/>
  <c r="D32"/>
  <c r="I32"/>
  <c r="CX10" i="3" s="1"/>
  <c r="K32" i="1"/>
  <c r="C77" i="5" s="1"/>
  <c r="AC32" i="1"/>
  <c r="AE32"/>
  <c r="AF32"/>
  <c r="CT32" s="1"/>
  <c r="S32" s="1"/>
  <c r="AG32"/>
  <c r="CU32" s="1"/>
  <c r="T32" s="1"/>
  <c r="AH32"/>
  <c r="CV32" s="1"/>
  <c r="U32" s="1"/>
  <c r="AI32"/>
  <c r="CW32" s="1"/>
  <c r="V32" s="1"/>
  <c r="G80" i="5" s="1"/>
  <c r="AJ32" i="1"/>
  <c r="CQ32"/>
  <c r="P32" s="1"/>
  <c r="CX32"/>
  <c r="W32" s="1"/>
  <c r="FR32"/>
  <c r="GL32"/>
  <c r="BZ40" s="1"/>
  <c r="BZ26" s="1"/>
  <c r="GO32"/>
  <c r="GP32"/>
  <c r="GV32"/>
  <c r="HC32" s="1"/>
  <c r="GX32" s="1"/>
  <c r="C33"/>
  <c r="D33"/>
  <c r="I33"/>
  <c r="CX13" i="3" s="1"/>
  <c r="K33" i="1"/>
  <c r="C88" i="5" s="1"/>
  <c r="AC33" i="1"/>
  <c r="AE33"/>
  <c r="CS33" s="1"/>
  <c r="R33" s="1"/>
  <c r="HI33" s="1"/>
  <c r="AF33"/>
  <c r="AG33"/>
  <c r="CU33" s="1"/>
  <c r="T33" s="1"/>
  <c r="AH33"/>
  <c r="CV33" s="1"/>
  <c r="U33" s="1"/>
  <c r="G90" i="5" s="1"/>
  <c r="AI33" i="1"/>
  <c r="CW33" s="1"/>
  <c r="V33" s="1"/>
  <c r="AJ33"/>
  <c r="CX33" s="1"/>
  <c r="W33" s="1"/>
  <c r="CQ33"/>
  <c r="P33" s="1"/>
  <c r="FR33"/>
  <c r="GL33"/>
  <c r="GO33"/>
  <c r="GP33"/>
  <c r="GV33"/>
  <c r="HC33" s="1"/>
  <c r="GX33" s="1"/>
  <c r="C34"/>
  <c r="D34"/>
  <c r="AC34"/>
  <c r="AD34"/>
  <c r="J98" i="5" s="1"/>
  <c r="AR101" s="1"/>
  <c r="AE34" i="1"/>
  <c r="AF34"/>
  <c r="AG34"/>
  <c r="AH34"/>
  <c r="CV34" s="1"/>
  <c r="U34" s="1"/>
  <c r="AI34"/>
  <c r="CW34" s="1"/>
  <c r="V34" s="1"/>
  <c r="G99" i="5" s="1"/>
  <c r="AJ34" i="1"/>
  <c r="CX34" s="1"/>
  <c r="W34" s="1"/>
  <c r="CQ34"/>
  <c r="P34" s="1"/>
  <c r="CR34"/>
  <c r="Q34" s="1"/>
  <c r="CS34"/>
  <c r="R34" s="1"/>
  <c r="HI34" s="1"/>
  <c r="CU34"/>
  <c r="T34" s="1"/>
  <c r="FR34"/>
  <c r="GL34"/>
  <c r="GO34"/>
  <c r="GP34"/>
  <c r="GV34"/>
  <c r="HC34" s="1"/>
  <c r="GX34" s="1"/>
  <c r="AC35"/>
  <c r="CQ35" s="1"/>
  <c r="P35" s="1"/>
  <c r="AD35"/>
  <c r="AB35" s="1"/>
  <c r="AE35"/>
  <c r="CS35" s="1"/>
  <c r="R35" s="1"/>
  <c r="HI35" s="1"/>
  <c r="AF35"/>
  <c r="CT35" s="1"/>
  <c r="S35" s="1"/>
  <c r="AG35"/>
  <c r="AH35"/>
  <c r="AI35"/>
  <c r="CW35" s="1"/>
  <c r="V35" s="1"/>
  <c r="AJ35"/>
  <c r="CX35" s="1"/>
  <c r="W35" s="1"/>
  <c r="CR35"/>
  <c r="Q35" s="1"/>
  <c r="CU35"/>
  <c r="T35" s="1"/>
  <c r="CV35"/>
  <c r="U35" s="1"/>
  <c r="FR35"/>
  <c r="GL35"/>
  <c r="GO35"/>
  <c r="GP35"/>
  <c r="GV35"/>
  <c r="HC35" s="1"/>
  <c r="GX35" s="1"/>
  <c r="C36"/>
  <c r="D36"/>
  <c r="AC36"/>
  <c r="CQ36" s="1"/>
  <c r="P36" s="1"/>
  <c r="AE36"/>
  <c r="AD36" s="1"/>
  <c r="J110" i="5" s="1"/>
  <c r="AP119" s="1"/>
  <c r="AF36" i="1"/>
  <c r="CT36" s="1"/>
  <c r="S36" s="1"/>
  <c r="AG36"/>
  <c r="CU36" s="1"/>
  <c r="T36" s="1"/>
  <c r="AH36"/>
  <c r="CV36" s="1"/>
  <c r="U36" s="1"/>
  <c r="G113" i="5" s="1"/>
  <c r="AI36" i="1"/>
  <c r="CW36" s="1"/>
  <c r="V36" s="1"/>
  <c r="G114" i="5" s="1"/>
  <c r="AJ36" i="1"/>
  <c r="CX36" s="1"/>
  <c r="W36" s="1"/>
  <c r="CS36"/>
  <c r="R36" s="1"/>
  <c r="HI36" s="1"/>
  <c r="L111" i="5" s="1"/>
  <c r="Z119" s="1"/>
  <c r="FR36" i="1"/>
  <c r="GL36"/>
  <c r="GO36"/>
  <c r="GP36"/>
  <c r="GV36"/>
  <c r="HC36"/>
  <c r="GX36" s="1"/>
  <c r="C37"/>
  <c r="D37"/>
  <c r="I37"/>
  <c r="CX26" i="3" s="1"/>
  <c r="K37" i="1"/>
  <c r="C122" i="5" s="1"/>
  <c r="AC37" i="1"/>
  <c r="CQ37" s="1"/>
  <c r="AE37"/>
  <c r="AD37" s="1"/>
  <c r="AF37"/>
  <c r="CT37" s="1"/>
  <c r="AG37"/>
  <c r="CU37" s="1"/>
  <c r="AH37"/>
  <c r="AI37"/>
  <c r="AJ37"/>
  <c r="CX37" s="1"/>
  <c r="W37" s="1"/>
  <c r="CS37"/>
  <c r="R37" s="1"/>
  <c r="HI37" s="1"/>
  <c r="CV37"/>
  <c r="U37" s="1"/>
  <c r="G125" i="5" s="1"/>
  <c r="CW37" i="1"/>
  <c r="FR37"/>
  <c r="GL37"/>
  <c r="GO37"/>
  <c r="GP37"/>
  <c r="GV37"/>
  <c r="HC37"/>
  <c r="C38"/>
  <c r="D38"/>
  <c r="I38"/>
  <c r="CX29" i="3" s="1"/>
  <c r="K38" i="1"/>
  <c r="E131" i="5" s="1"/>
  <c r="AC38" i="1"/>
  <c r="AE38"/>
  <c r="AD38" s="1"/>
  <c r="AF38"/>
  <c r="CT38" s="1"/>
  <c r="S38" s="1"/>
  <c r="AG38"/>
  <c r="CU38" s="1"/>
  <c r="T38" s="1"/>
  <c r="AH38"/>
  <c r="CV38" s="1"/>
  <c r="U38" s="1"/>
  <c r="G136" i="5" s="1"/>
  <c r="AI38" i="1"/>
  <c r="CW38" s="1"/>
  <c r="V38" s="1"/>
  <c r="AJ38"/>
  <c r="CX38" s="1"/>
  <c r="FR38"/>
  <c r="GL38"/>
  <c r="GO38"/>
  <c r="CC40" s="1"/>
  <c r="CC26" s="1"/>
  <c r="GP38"/>
  <c r="GV38"/>
  <c r="HC38" s="1"/>
  <c r="GX38" s="1"/>
  <c r="B40"/>
  <c r="B26" s="1"/>
  <c r="C40"/>
  <c r="C26" s="1"/>
  <c r="D40"/>
  <c r="D26" s="1"/>
  <c r="F40"/>
  <c r="F26" s="1"/>
  <c r="G40"/>
  <c r="G26" s="1"/>
  <c r="BX40"/>
  <c r="BX26" s="1"/>
  <c r="CD40"/>
  <c r="CD26" s="1"/>
  <c r="CK40"/>
  <c r="CK26" s="1"/>
  <c r="CL40"/>
  <c r="CL26" s="1"/>
  <c r="D79"/>
  <c r="E81"/>
  <c r="Z81"/>
  <c r="AA81"/>
  <c r="AM81"/>
  <c r="AN81"/>
  <c r="BE81"/>
  <c r="BF81"/>
  <c r="BG81"/>
  <c r="BH81"/>
  <c r="BI81"/>
  <c r="BJ81"/>
  <c r="BK81"/>
  <c r="BL81"/>
  <c r="BM81"/>
  <c r="BN81"/>
  <c r="BO81"/>
  <c r="BP81"/>
  <c r="BQ81"/>
  <c r="BR81"/>
  <c r="BS81"/>
  <c r="BT81"/>
  <c r="BU81"/>
  <c r="BV81"/>
  <c r="BW81"/>
  <c r="CN81"/>
  <c r="CO81"/>
  <c r="CP81"/>
  <c r="CQ81"/>
  <c r="CR81"/>
  <c r="CS81"/>
  <c r="CT81"/>
  <c r="CU81"/>
  <c r="CV81"/>
  <c r="CW81"/>
  <c r="CX81"/>
  <c r="CY81"/>
  <c r="CZ81"/>
  <c r="DA81"/>
  <c r="DB81"/>
  <c r="DC81"/>
  <c r="DD81"/>
  <c r="DE81"/>
  <c r="DF81"/>
  <c r="DG81"/>
  <c r="DH81"/>
  <c r="DI81"/>
  <c r="DJ81"/>
  <c r="DK81"/>
  <c r="DL81"/>
  <c r="DM81"/>
  <c r="DN81"/>
  <c r="DO81"/>
  <c r="DP81"/>
  <c r="DQ81"/>
  <c r="DR81"/>
  <c r="DS81"/>
  <c r="DT81"/>
  <c r="DU81"/>
  <c r="DV81"/>
  <c r="DW81"/>
  <c r="DX81"/>
  <c r="DY81"/>
  <c r="DZ81"/>
  <c r="EA81"/>
  <c r="EB81"/>
  <c r="EC81"/>
  <c r="ED81"/>
  <c r="EE81"/>
  <c r="EF81"/>
  <c r="EG81"/>
  <c r="EH81"/>
  <c r="EI81"/>
  <c r="EJ81"/>
  <c r="EK81"/>
  <c r="EL81"/>
  <c r="EM81"/>
  <c r="EN81"/>
  <c r="EO81"/>
  <c r="EP81"/>
  <c r="EQ81"/>
  <c r="ER81"/>
  <c r="ES81"/>
  <c r="ET81"/>
  <c r="EU81"/>
  <c r="EV81"/>
  <c r="EW81"/>
  <c r="EX81"/>
  <c r="EY81"/>
  <c r="EZ81"/>
  <c r="FA81"/>
  <c r="FB81"/>
  <c r="FC81"/>
  <c r="FD81"/>
  <c r="FE81"/>
  <c r="FF81"/>
  <c r="FG81"/>
  <c r="FH81"/>
  <c r="FI81"/>
  <c r="FJ81"/>
  <c r="FK81"/>
  <c r="FL81"/>
  <c r="FM81"/>
  <c r="FN81"/>
  <c r="FO81"/>
  <c r="FP81"/>
  <c r="FQ81"/>
  <c r="FR81"/>
  <c r="FS81"/>
  <c r="FT81"/>
  <c r="FU81"/>
  <c r="FV81"/>
  <c r="FW81"/>
  <c r="FX81"/>
  <c r="FY81"/>
  <c r="FZ81"/>
  <c r="GA81"/>
  <c r="GB81"/>
  <c r="GC81"/>
  <c r="GD81"/>
  <c r="GE81"/>
  <c r="GF81"/>
  <c r="GG81"/>
  <c r="GH81"/>
  <c r="GI81"/>
  <c r="GJ81"/>
  <c r="GK81"/>
  <c r="GL81"/>
  <c r="GM81"/>
  <c r="GN81"/>
  <c r="GO81"/>
  <c r="GP81"/>
  <c r="GQ81"/>
  <c r="GR81"/>
  <c r="GS81"/>
  <c r="GT81"/>
  <c r="GU81"/>
  <c r="GV81"/>
  <c r="GW81"/>
  <c r="GX81"/>
  <c r="C83"/>
  <c r="D83"/>
  <c r="I83"/>
  <c r="G165" i="5" s="1"/>
  <c r="K83" i="1"/>
  <c r="C167" i="5" s="1"/>
  <c r="AC83" i="1"/>
  <c r="J170" i="5" s="1"/>
  <c r="AY176" s="1"/>
  <c r="AE83" i="1"/>
  <c r="CS83" s="1"/>
  <c r="AF83"/>
  <c r="J168" i="5" s="1"/>
  <c r="R176" s="1"/>
  <c r="AG83" i="1"/>
  <c r="CU83" s="1"/>
  <c r="T83" s="1"/>
  <c r="AH83"/>
  <c r="CV83" s="1"/>
  <c r="U83" s="1"/>
  <c r="G171" i="5" s="1"/>
  <c r="AI83" i="1"/>
  <c r="CW83" s="1"/>
  <c r="V83" s="1"/>
  <c r="AJ83"/>
  <c r="CX83" s="1"/>
  <c r="W83" s="1"/>
  <c r="CQ83"/>
  <c r="P83" s="1"/>
  <c r="CT83"/>
  <c r="FR83"/>
  <c r="GL83"/>
  <c r="GN83"/>
  <c r="GP83"/>
  <c r="GV83"/>
  <c r="HC83" s="1"/>
  <c r="GX83" s="1"/>
  <c r="C84"/>
  <c r="D84"/>
  <c r="I84"/>
  <c r="G177" i="5" s="1"/>
  <c r="K84" i="1"/>
  <c r="C179" i="5" s="1"/>
  <c r="AC84" i="1"/>
  <c r="AE84"/>
  <c r="AD84" s="1"/>
  <c r="AF84"/>
  <c r="AG84"/>
  <c r="AH84"/>
  <c r="CV84" s="1"/>
  <c r="AI84"/>
  <c r="AJ84"/>
  <c r="CX84" s="1"/>
  <c r="W84" s="1"/>
  <c r="CQ84"/>
  <c r="CS84"/>
  <c r="CT84"/>
  <c r="S84" s="1"/>
  <c r="CU84"/>
  <c r="CW84"/>
  <c r="FR84"/>
  <c r="GL84"/>
  <c r="GN84"/>
  <c r="GP84"/>
  <c r="GV84"/>
  <c r="HC84" s="1"/>
  <c r="C85"/>
  <c r="D85"/>
  <c r="I85"/>
  <c r="G190" i="5" s="1"/>
  <c r="K85" i="1"/>
  <c r="AC85"/>
  <c r="AE85"/>
  <c r="J195" i="5" s="1"/>
  <c r="X203" s="1"/>
  <c r="AF85" i="1"/>
  <c r="J193" i="5" s="1"/>
  <c r="BA203" s="1"/>
  <c r="AG85" i="1"/>
  <c r="AH85"/>
  <c r="CV85" s="1"/>
  <c r="AI85"/>
  <c r="CW85" s="1"/>
  <c r="AJ85"/>
  <c r="CS85"/>
  <c r="CT85"/>
  <c r="S85" s="1"/>
  <c r="CU85"/>
  <c r="T85" s="1"/>
  <c r="CX85"/>
  <c r="FR85"/>
  <c r="GL85"/>
  <c r="GN85"/>
  <c r="GP85"/>
  <c r="GV85"/>
  <c r="HC85" s="1"/>
  <c r="C86"/>
  <c r="D86"/>
  <c r="I86"/>
  <c r="G204" i="5" s="1"/>
  <c r="K86" i="1"/>
  <c r="C206" i="5" s="1"/>
  <c r="AC86" i="1"/>
  <c r="AD86"/>
  <c r="AE86"/>
  <c r="CS86" s="1"/>
  <c r="R86" s="1"/>
  <c r="HI86" s="1"/>
  <c r="L209" i="5" s="1"/>
  <c r="Z217" s="1"/>
  <c r="AF86" i="1"/>
  <c r="J207" i="5" s="1"/>
  <c r="BA217" s="1"/>
  <c r="AG86" i="1"/>
  <c r="AH86"/>
  <c r="CV86" s="1"/>
  <c r="U86" s="1"/>
  <c r="G211" i="5" s="1"/>
  <c r="AI86" i="1"/>
  <c r="CW86" s="1"/>
  <c r="AJ86"/>
  <c r="CT86"/>
  <c r="S86" s="1"/>
  <c r="CU86"/>
  <c r="T86" s="1"/>
  <c r="CX86"/>
  <c r="W86" s="1"/>
  <c r="FR86"/>
  <c r="GL86"/>
  <c r="GN86"/>
  <c r="GP86"/>
  <c r="GV86"/>
  <c r="HC86" s="1"/>
  <c r="GX86" s="1"/>
  <c r="C87"/>
  <c r="D87"/>
  <c r="I87"/>
  <c r="K87"/>
  <c r="E218" i="5" s="1"/>
  <c r="AC87" i="1"/>
  <c r="J224" i="5" s="1"/>
  <c r="AY231" s="1"/>
  <c r="AE87" i="1"/>
  <c r="AF87"/>
  <c r="AG87"/>
  <c r="CU87" s="1"/>
  <c r="T87" s="1"/>
  <c r="AH87"/>
  <c r="CV87" s="1"/>
  <c r="U87" s="1"/>
  <c r="G225" i="5" s="1"/>
  <c r="AI87" i="1"/>
  <c r="CW87" s="1"/>
  <c r="V87" s="1"/>
  <c r="G226" i="5" s="1"/>
  <c r="AJ87" i="1"/>
  <c r="CX87" s="1"/>
  <c r="W87" s="1"/>
  <c r="FR87"/>
  <c r="GL87"/>
  <c r="GN87"/>
  <c r="GP87"/>
  <c r="GV87"/>
  <c r="HC87" s="1"/>
  <c r="GX87" s="1"/>
  <c r="C88"/>
  <c r="D88"/>
  <c r="I88"/>
  <c r="G232" i="5" s="1"/>
  <c r="K88" i="1"/>
  <c r="C234" i="5" s="1"/>
  <c r="AC88" i="1"/>
  <c r="AE88"/>
  <c r="AD88" s="1"/>
  <c r="AF88"/>
  <c r="CT88" s="1"/>
  <c r="S88" s="1"/>
  <c r="AG88"/>
  <c r="CU88" s="1"/>
  <c r="T88" s="1"/>
  <c r="AH88"/>
  <c r="CV88" s="1"/>
  <c r="U88" s="1"/>
  <c r="G239" i="5" s="1"/>
  <c r="AI88" i="1"/>
  <c r="CW88" s="1"/>
  <c r="V88" s="1"/>
  <c r="G240" i="5" s="1"/>
  <c r="AJ88" i="1"/>
  <c r="CX88" s="1"/>
  <c r="W88" s="1"/>
  <c r="CQ88"/>
  <c r="P88" s="1"/>
  <c r="CS88"/>
  <c r="R88" s="1"/>
  <c r="HI88" s="1"/>
  <c r="L237" i="5" s="1"/>
  <c r="Z245" s="1"/>
  <c r="FR88" i="1"/>
  <c r="GL88"/>
  <c r="GN88"/>
  <c r="GP88"/>
  <c r="GV88"/>
  <c r="HC88" s="1"/>
  <c r="GX88" s="1"/>
  <c r="C89"/>
  <c r="D89"/>
  <c r="I89"/>
  <c r="K89"/>
  <c r="E246" i="5" s="1"/>
  <c r="AC89" i="1"/>
  <c r="J252" i="5" s="1"/>
  <c r="AF259" s="1"/>
  <c r="AE89" i="1"/>
  <c r="J251" i="5" s="1"/>
  <c r="X259" s="1"/>
  <c r="AF89" i="1"/>
  <c r="J249" i="5" s="1"/>
  <c r="BA259" s="1"/>
  <c r="AG89" i="1"/>
  <c r="AH89"/>
  <c r="CV89" s="1"/>
  <c r="U89" s="1"/>
  <c r="G253" i="5" s="1"/>
  <c r="AI89" i="1"/>
  <c r="CW89" s="1"/>
  <c r="V89" s="1"/>
  <c r="G254" i="5" s="1"/>
  <c r="AJ89" i="1"/>
  <c r="CX89" s="1"/>
  <c r="W89" s="1"/>
  <c r="CQ89"/>
  <c r="CS89"/>
  <c r="CT89"/>
  <c r="S89" s="1"/>
  <c r="CU89"/>
  <c r="T89" s="1"/>
  <c r="FR89"/>
  <c r="GL89"/>
  <c r="GN89"/>
  <c r="GP89"/>
  <c r="GV89"/>
  <c r="HC89" s="1"/>
  <c r="GX89" s="1"/>
  <c r="C90"/>
  <c r="D90"/>
  <c r="I90"/>
  <c r="G260" i="5" s="1"/>
  <c r="K90" i="1"/>
  <c r="C262" i="5" s="1"/>
  <c r="AC90" i="1"/>
  <c r="AD90"/>
  <c r="CR90" s="1"/>
  <c r="Q90" s="1"/>
  <c r="AE90"/>
  <c r="J265" i="5" s="1"/>
  <c r="X273" s="1"/>
  <c r="AF90" i="1"/>
  <c r="J263" i="5" s="1"/>
  <c r="BA273" s="1"/>
  <c r="AG90" i="1"/>
  <c r="AH90"/>
  <c r="CV90" s="1"/>
  <c r="AI90"/>
  <c r="CW90" s="1"/>
  <c r="V90" s="1"/>
  <c r="G268" i="5" s="1"/>
  <c r="AJ90" i="1"/>
  <c r="CX90" s="1"/>
  <c r="W90" s="1"/>
  <c r="CQ90"/>
  <c r="P90" s="1"/>
  <c r="CP90" s="1"/>
  <c r="O90" s="1"/>
  <c r="CS90"/>
  <c r="R90" s="1"/>
  <c r="HI90" s="1"/>
  <c r="L265" i="5" s="1"/>
  <c r="Z273" s="1"/>
  <c r="CT90" i="1"/>
  <c r="S90" s="1"/>
  <c r="CU90"/>
  <c r="FR90"/>
  <c r="GL90"/>
  <c r="GN90"/>
  <c r="GP90"/>
  <c r="GV90"/>
  <c r="HC90" s="1"/>
  <c r="C91"/>
  <c r="D91"/>
  <c r="I91"/>
  <c r="G274" i="5" s="1"/>
  <c r="K91" i="1"/>
  <c r="AC91"/>
  <c r="AE91"/>
  <c r="CS91" s="1"/>
  <c r="R91" s="1"/>
  <c r="HI91" s="1"/>
  <c r="AF91"/>
  <c r="J277" i="5" s="1"/>
  <c r="R284" s="1"/>
  <c r="AG91" i="1"/>
  <c r="AH91"/>
  <c r="CV91" s="1"/>
  <c r="AI91"/>
  <c r="AJ91"/>
  <c r="CT91"/>
  <c r="S91" s="1"/>
  <c r="CU91"/>
  <c r="T91" s="1"/>
  <c r="CW91"/>
  <c r="CX91"/>
  <c r="FR91"/>
  <c r="GL91"/>
  <c r="GN91"/>
  <c r="GP91"/>
  <c r="GV91"/>
  <c r="HC91" s="1"/>
  <c r="C92"/>
  <c r="D92"/>
  <c r="AC92"/>
  <c r="CQ92" s="1"/>
  <c r="P92" s="1"/>
  <c r="AE92"/>
  <c r="AF92"/>
  <c r="AG92"/>
  <c r="CU92" s="1"/>
  <c r="T92" s="1"/>
  <c r="AH92"/>
  <c r="CV92" s="1"/>
  <c r="U92" s="1"/>
  <c r="AI92"/>
  <c r="CW92" s="1"/>
  <c r="V92" s="1"/>
  <c r="G292" i="5" s="1"/>
  <c r="AJ92" i="1"/>
  <c r="CX92" s="1"/>
  <c r="W92" s="1"/>
  <c r="FR92"/>
  <c r="GL92"/>
  <c r="GN92"/>
  <c r="GP92"/>
  <c r="GV92"/>
  <c r="HC92"/>
  <c r="GX92" s="1"/>
  <c r="C93"/>
  <c r="D93"/>
  <c r="I93"/>
  <c r="G298" i="5" s="1"/>
  <c r="K93" i="1"/>
  <c r="E298" i="5" s="1"/>
  <c r="AC93" i="1"/>
  <c r="J302" i="5" s="1"/>
  <c r="AF308" s="1"/>
  <c r="AE93" i="1"/>
  <c r="AD93" s="1"/>
  <c r="AF93"/>
  <c r="CT93" s="1"/>
  <c r="S93" s="1"/>
  <c r="AG93"/>
  <c r="CU93" s="1"/>
  <c r="T93" s="1"/>
  <c r="AH93"/>
  <c r="CV93" s="1"/>
  <c r="U93" s="1"/>
  <c r="G303" i="5" s="1"/>
  <c r="AI93" i="1"/>
  <c r="CW93" s="1"/>
  <c r="V93" s="1"/>
  <c r="AJ93"/>
  <c r="CX93" s="1"/>
  <c r="W93" s="1"/>
  <c r="CQ93"/>
  <c r="P93" s="1"/>
  <c r="CS93"/>
  <c r="R93" s="1"/>
  <c r="HI93" s="1"/>
  <c r="FR93"/>
  <c r="GL93"/>
  <c r="GN93"/>
  <c r="GP93"/>
  <c r="GV93"/>
  <c r="HC93" s="1"/>
  <c r="GX93" s="1"/>
  <c r="C94"/>
  <c r="D94"/>
  <c r="AC94"/>
  <c r="AE94"/>
  <c r="AD94" s="1"/>
  <c r="AF94"/>
  <c r="J311" i="5" s="1"/>
  <c r="BA321" s="1"/>
  <c r="AG94" i="1"/>
  <c r="AH94"/>
  <c r="CV94" s="1"/>
  <c r="U94" s="1"/>
  <c r="G315" i="5" s="1"/>
  <c r="AI94" i="1"/>
  <c r="CW94" s="1"/>
  <c r="V94" s="1"/>
  <c r="G316" i="5" s="1"/>
  <c r="AJ94" i="1"/>
  <c r="CS94"/>
  <c r="R94" s="1"/>
  <c r="HI94" s="1"/>
  <c r="L313" i="5" s="1"/>
  <c r="Z321" s="1"/>
  <c r="CT94" i="1"/>
  <c r="S94" s="1"/>
  <c r="CU94"/>
  <c r="T94" s="1"/>
  <c r="CX94"/>
  <c r="W94" s="1"/>
  <c r="FR94"/>
  <c r="GL94"/>
  <c r="GN94"/>
  <c r="GP94"/>
  <c r="GV94"/>
  <c r="HC94" s="1"/>
  <c r="GX94" s="1"/>
  <c r="C95"/>
  <c r="D95"/>
  <c r="AC95"/>
  <c r="AE95"/>
  <c r="AF95"/>
  <c r="CT95" s="1"/>
  <c r="S95" s="1"/>
  <c r="AG95"/>
  <c r="AH95"/>
  <c r="CV95" s="1"/>
  <c r="U95" s="1"/>
  <c r="G326" i="5" s="1"/>
  <c r="AI95" i="1"/>
  <c r="AJ95"/>
  <c r="CX95" s="1"/>
  <c r="W95" s="1"/>
  <c r="CU95"/>
  <c r="T95" s="1"/>
  <c r="CW95"/>
  <c r="V95" s="1"/>
  <c r="FR95"/>
  <c r="GL95"/>
  <c r="GN95"/>
  <c r="GP95"/>
  <c r="GV95"/>
  <c r="HC95" s="1"/>
  <c r="GX95" s="1"/>
  <c r="I96"/>
  <c r="G328" i="5" s="1"/>
  <c r="AC96" i="1"/>
  <c r="J328" i="5" s="1"/>
  <c r="AY328" s="1"/>
  <c r="AE96" i="1"/>
  <c r="AD96" s="1"/>
  <c r="CR96" s="1"/>
  <c r="Q96" s="1"/>
  <c r="AF96"/>
  <c r="AG96"/>
  <c r="CU96" s="1"/>
  <c r="T96" s="1"/>
  <c r="AH96"/>
  <c r="CV96" s="1"/>
  <c r="U96" s="1"/>
  <c r="AI96"/>
  <c r="CW96" s="1"/>
  <c r="V96" s="1"/>
  <c r="AJ96"/>
  <c r="CX96" s="1"/>
  <c r="W96" s="1"/>
  <c r="CQ96"/>
  <c r="P96" s="1"/>
  <c r="CT96"/>
  <c r="S96" s="1"/>
  <c r="FR96"/>
  <c r="GL96"/>
  <c r="GN96"/>
  <c r="GP96"/>
  <c r="GV96"/>
  <c r="HC96" s="1"/>
  <c r="GX96" s="1"/>
  <c r="C97"/>
  <c r="D97"/>
  <c r="AC97"/>
  <c r="J337" i="5" s="1"/>
  <c r="AF343" s="1"/>
  <c r="AE97" i="1"/>
  <c r="AD97" s="1"/>
  <c r="AF97"/>
  <c r="J335" i="5" s="1"/>
  <c r="BA343" s="1"/>
  <c r="AG97" i="1"/>
  <c r="CU97" s="1"/>
  <c r="T97" s="1"/>
  <c r="AH97"/>
  <c r="AI97"/>
  <c r="AJ97"/>
  <c r="CS97"/>
  <c r="R97" s="1"/>
  <c r="HI97" s="1"/>
  <c r="CV97"/>
  <c r="U97" s="1"/>
  <c r="G338" i="5" s="1"/>
  <c r="CW97" i="1"/>
  <c r="V97" s="1"/>
  <c r="CX97"/>
  <c r="W97" s="1"/>
  <c r="FR97"/>
  <c r="GL97"/>
  <c r="GN97"/>
  <c r="GP97"/>
  <c r="GV97"/>
  <c r="HC97"/>
  <c r="GX97" s="1"/>
  <c r="B99"/>
  <c r="B81" s="1"/>
  <c r="C99"/>
  <c r="C81" s="1"/>
  <c r="D99"/>
  <c r="D81" s="1"/>
  <c r="F99"/>
  <c r="F81" s="1"/>
  <c r="G99"/>
  <c r="G81" s="1"/>
  <c r="BX99"/>
  <c r="BX81" s="1"/>
  <c r="CB99"/>
  <c r="CB81" s="1"/>
  <c r="CD99"/>
  <c r="CD81" s="1"/>
  <c r="CK99"/>
  <c r="BB99" s="1"/>
  <c r="CL99"/>
  <c r="CL81" s="1"/>
  <c r="CM99"/>
  <c r="CM81" s="1"/>
  <c r="D138"/>
  <c r="E140"/>
  <c r="Z140"/>
  <c r="AA140"/>
  <c r="AM140"/>
  <c r="AN140"/>
  <c r="BE140"/>
  <c r="BF140"/>
  <c r="BG140"/>
  <c r="BH140"/>
  <c r="BI140"/>
  <c r="BJ140"/>
  <c r="BK140"/>
  <c r="BL140"/>
  <c r="BM140"/>
  <c r="BN140"/>
  <c r="BO140"/>
  <c r="BP140"/>
  <c r="BQ140"/>
  <c r="BR140"/>
  <c r="BS140"/>
  <c r="BT140"/>
  <c r="BU140"/>
  <c r="BV140"/>
  <c r="BW140"/>
  <c r="CN140"/>
  <c r="CO140"/>
  <c r="CP140"/>
  <c r="CQ140"/>
  <c r="CR140"/>
  <c r="CS140"/>
  <c r="CT140"/>
  <c r="CU140"/>
  <c r="CV140"/>
  <c r="CW140"/>
  <c r="CX140"/>
  <c r="CY140"/>
  <c r="CZ140"/>
  <c r="DA140"/>
  <c r="DB140"/>
  <c r="DC140"/>
  <c r="DD140"/>
  <c r="DE140"/>
  <c r="DF140"/>
  <c r="DG140"/>
  <c r="DH140"/>
  <c r="DI140"/>
  <c r="DJ140"/>
  <c r="DK140"/>
  <c r="DL140"/>
  <c r="DM140"/>
  <c r="DN140"/>
  <c r="DO140"/>
  <c r="DP140"/>
  <c r="DQ140"/>
  <c r="DR140"/>
  <c r="DS140"/>
  <c r="DT140"/>
  <c r="DU140"/>
  <c r="DV140"/>
  <c r="DW140"/>
  <c r="DX140"/>
  <c r="DY140"/>
  <c r="DZ140"/>
  <c r="EA140"/>
  <c r="EB140"/>
  <c r="EC140"/>
  <c r="ED140"/>
  <c r="EE140"/>
  <c r="EF140"/>
  <c r="EG140"/>
  <c r="EH140"/>
  <c r="EI140"/>
  <c r="EJ140"/>
  <c r="EK140"/>
  <c r="EL140"/>
  <c r="EM140"/>
  <c r="EN140"/>
  <c r="EO140"/>
  <c r="EP140"/>
  <c r="EQ140"/>
  <c r="ER140"/>
  <c r="ES140"/>
  <c r="ET140"/>
  <c r="EU140"/>
  <c r="EV140"/>
  <c r="EW140"/>
  <c r="EX140"/>
  <c r="EY140"/>
  <c r="EZ140"/>
  <c r="FA140"/>
  <c r="FB140"/>
  <c r="FC140"/>
  <c r="FD140"/>
  <c r="FE140"/>
  <c r="FF140"/>
  <c r="FG140"/>
  <c r="FH140"/>
  <c r="FI140"/>
  <c r="FJ140"/>
  <c r="FK140"/>
  <c r="FL140"/>
  <c r="FM140"/>
  <c r="FN140"/>
  <c r="FO140"/>
  <c r="FP140"/>
  <c r="FQ140"/>
  <c r="FR140"/>
  <c r="FS140"/>
  <c r="FT140"/>
  <c r="FU140"/>
  <c r="FV140"/>
  <c r="FW140"/>
  <c r="FX140"/>
  <c r="FY140"/>
  <c r="FZ140"/>
  <c r="GA140"/>
  <c r="GB140"/>
  <c r="GC140"/>
  <c r="GD140"/>
  <c r="GE140"/>
  <c r="GF140"/>
  <c r="GG140"/>
  <c r="GH140"/>
  <c r="GI140"/>
  <c r="GJ140"/>
  <c r="GK140"/>
  <c r="GL140"/>
  <c r="GM140"/>
  <c r="GN140"/>
  <c r="GO140"/>
  <c r="GP140"/>
  <c r="GQ140"/>
  <c r="GR140"/>
  <c r="GS140"/>
  <c r="GT140"/>
  <c r="GU140"/>
  <c r="GV140"/>
  <c r="GW140"/>
  <c r="GX140"/>
  <c r="C142"/>
  <c r="D142"/>
  <c r="I142"/>
  <c r="G367" i="5" s="1"/>
  <c r="K142" i="1"/>
  <c r="AC142"/>
  <c r="J373" i="5" s="1"/>
  <c r="AF380" s="1"/>
  <c r="AE142" i="1"/>
  <c r="AF142"/>
  <c r="J370" i="5" s="1"/>
  <c r="R380" s="1"/>
  <c r="AG142" i="1"/>
  <c r="CU142" s="1"/>
  <c r="T142" s="1"/>
  <c r="AH142"/>
  <c r="CV142" s="1"/>
  <c r="U142" s="1"/>
  <c r="G374" i="5" s="1"/>
  <c r="AI142" i="1"/>
  <c r="CW142" s="1"/>
  <c r="V142" s="1"/>
  <c r="G375" i="5" s="1"/>
  <c r="AJ142" i="1"/>
  <c r="CX142" s="1"/>
  <c r="W142" s="1"/>
  <c r="CQ142"/>
  <c r="P142" s="1"/>
  <c r="CT142"/>
  <c r="S142" s="1"/>
  <c r="FR142"/>
  <c r="GL142"/>
  <c r="GO142"/>
  <c r="GP142"/>
  <c r="GV142"/>
  <c r="HC142" s="1"/>
  <c r="GX142" s="1"/>
  <c r="C143"/>
  <c r="D143"/>
  <c r="I143"/>
  <c r="G381" i="5" s="1"/>
  <c r="K143" i="1"/>
  <c r="E381" i="5" s="1"/>
  <c r="AC143" i="1"/>
  <c r="AD143"/>
  <c r="AE143"/>
  <c r="AF143"/>
  <c r="AG143"/>
  <c r="AH143"/>
  <c r="CV143" s="1"/>
  <c r="AI143"/>
  <c r="CW143" s="1"/>
  <c r="V143" s="1"/>
  <c r="G389" i="5" s="1"/>
  <c r="AJ143" i="1"/>
  <c r="CS143"/>
  <c r="R143" s="1"/>
  <c r="HI143" s="1"/>
  <c r="L386" i="5" s="1"/>
  <c r="Z394" s="1"/>
  <c r="CT143" i="1"/>
  <c r="S143" s="1"/>
  <c r="CU143"/>
  <c r="T143" s="1"/>
  <c r="CX143"/>
  <c r="W143" s="1"/>
  <c r="FR143"/>
  <c r="GL143"/>
  <c r="GO143"/>
  <c r="GP143"/>
  <c r="GV143"/>
  <c r="HC143" s="1"/>
  <c r="I144"/>
  <c r="G395" i="5" s="1"/>
  <c r="K144" i="1"/>
  <c r="AC144"/>
  <c r="AE144"/>
  <c r="AD144" s="1"/>
  <c r="AF144"/>
  <c r="CT144" s="1"/>
  <c r="AG144"/>
  <c r="CU144" s="1"/>
  <c r="T144" s="1"/>
  <c r="AH144"/>
  <c r="AI144"/>
  <c r="CW144" s="1"/>
  <c r="V144" s="1"/>
  <c r="AJ144"/>
  <c r="CX144" s="1"/>
  <c r="CQ144"/>
  <c r="CV144"/>
  <c r="U144" s="1"/>
  <c r="FR144"/>
  <c r="BY146" s="1"/>
  <c r="GL144"/>
  <c r="GN144"/>
  <c r="GP144"/>
  <c r="GV144"/>
  <c r="HC144" s="1"/>
  <c r="GX144" s="1"/>
  <c r="B146"/>
  <c r="B140" s="1"/>
  <c r="C146"/>
  <c r="C140" s="1"/>
  <c r="D146"/>
  <c r="D140" s="1"/>
  <c r="F146"/>
  <c r="F140" s="1"/>
  <c r="G146"/>
  <c r="G140" s="1"/>
  <c r="BX146"/>
  <c r="BX140" s="1"/>
  <c r="CK146"/>
  <c r="CK140" s="1"/>
  <c r="CL146"/>
  <c r="CL140" s="1"/>
  <c r="CM146"/>
  <c r="CM140" s="1"/>
  <c r="D185"/>
  <c r="E187"/>
  <c r="Z187"/>
  <c r="AA187"/>
  <c r="AM187"/>
  <c r="AN187"/>
  <c r="BE187"/>
  <c r="BF187"/>
  <c r="BG187"/>
  <c r="BH187"/>
  <c r="BI187"/>
  <c r="BJ187"/>
  <c r="BK187"/>
  <c r="BL187"/>
  <c r="BM187"/>
  <c r="BN187"/>
  <c r="BO187"/>
  <c r="BP187"/>
  <c r="BQ187"/>
  <c r="BR187"/>
  <c r="BS187"/>
  <c r="BT187"/>
  <c r="BU187"/>
  <c r="BV187"/>
  <c r="BW187"/>
  <c r="CN187"/>
  <c r="CO187"/>
  <c r="CP187"/>
  <c r="CQ187"/>
  <c r="CR187"/>
  <c r="CS187"/>
  <c r="CT187"/>
  <c r="CU187"/>
  <c r="CV187"/>
  <c r="CW187"/>
  <c r="CX187"/>
  <c r="CY187"/>
  <c r="CZ187"/>
  <c r="DA187"/>
  <c r="DB187"/>
  <c r="DC187"/>
  <c r="DD187"/>
  <c r="DE187"/>
  <c r="DF187"/>
  <c r="DG187"/>
  <c r="DH187"/>
  <c r="DI187"/>
  <c r="DJ187"/>
  <c r="DK187"/>
  <c r="DL187"/>
  <c r="DM187"/>
  <c r="DN187"/>
  <c r="DO187"/>
  <c r="DP187"/>
  <c r="DQ187"/>
  <c r="DR187"/>
  <c r="DS187"/>
  <c r="DT187"/>
  <c r="DU187"/>
  <c r="DV187"/>
  <c r="DW187"/>
  <c r="DX187"/>
  <c r="DY187"/>
  <c r="DZ187"/>
  <c r="EA187"/>
  <c r="EB187"/>
  <c r="EC187"/>
  <c r="ED187"/>
  <c r="EE187"/>
  <c r="EF187"/>
  <c r="EG187"/>
  <c r="EH187"/>
  <c r="EI187"/>
  <c r="EJ187"/>
  <c r="EK187"/>
  <c r="EL187"/>
  <c r="EM187"/>
  <c r="EN187"/>
  <c r="EO187"/>
  <c r="EP187"/>
  <c r="EQ187"/>
  <c r="ER187"/>
  <c r="ES187"/>
  <c r="ET187"/>
  <c r="EU187"/>
  <c r="EV187"/>
  <c r="EW187"/>
  <c r="EX187"/>
  <c r="EY187"/>
  <c r="EZ187"/>
  <c r="FA187"/>
  <c r="FB187"/>
  <c r="FC187"/>
  <c r="FD187"/>
  <c r="FE187"/>
  <c r="FF187"/>
  <c r="FG187"/>
  <c r="FH187"/>
  <c r="FI187"/>
  <c r="FJ187"/>
  <c r="FK187"/>
  <c r="FL187"/>
  <c r="FM187"/>
  <c r="FN187"/>
  <c r="FO187"/>
  <c r="FP187"/>
  <c r="FQ187"/>
  <c r="FR187"/>
  <c r="FS187"/>
  <c r="FT187"/>
  <c r="FU187"/>
  <c r="FV187"/>
  <c r="FW187"/>
  <c r="FX187"/>
  <c r="FY187"/>
  <c r="FZ187"/>
  <c r="GA187"/>
  <c r="GB187"/>
  <c r="GC187"/>
  <c r="GD187"/>
  <c r="GE187"/>
  <c r="GF187"/>
  <c r="GG187"/>
  <c r="GH187"/>
  <c r="GI187"/>
  <c r="GJ187"/>
  <c r="GK187"/>
  <c r="GL187"/>
  <c r="GM187"/>
  <c r="GN187"/>
  <c r="GO187"/>
  <c r="GP187"/>
  <c r="GQ187"/>
  <c r="GR187"/>
  <c r="GS187"/>
  <c r="GT187"/>
  <c r="GU187"/>
  <c r="GV187"/>
  <c r="GW187"/>
  <c r="GX187"/>
  <c r="C189"/>
  <c r="D189"/>
  <c r="I189"/>
  <c r="G423" i="5" s="1"/>
  <c r="K189" i="1"/>
  <c r="AC189"/>
  <c r="AE189"/>
  <c r="CS189" s="1"/>
  <c r="R189" s="1"/>
  <c r="HI189" s="1"/>
  <c r="L428" i="5" s="1"/>
  <c r="Z435" s="1"/>
  <c r="AF189" i="1"/>
  <c r="AG189"/>
  <c r="CU189" s="1"/>
  <c r="AH189"/>
  <c r="CV189" s="1"/>
  <c r="AI189"/>
  <c r="CW189" s="1"/>
  <c r="V189" s="1"/>
  <c r="G430" i="5" s="1"/>
  <c r="AJ189" i="1"/>
  <c r="CX189" s="1"/>
  <c r="FR189"/>
  <c r="BY212" s="1"/>
  <c r="BY187" s="1"/>
  <c r="GL189"/>
  <c r="GO189"/>
  <c r="GP189"/>
  <c r="GV189"/>
  <c r="HC189" s="1"/>
  <c r="GX189" s="1"/>
  <c r="C190"/>
  <c r="D190"/>
  <c r="I190"/>
  <c r="G436" i="5" s="1"/>
  <c r="K190" i="1"/>
  <c r="C438" i="5" s="1"/>
  <c r="AC190" i="1"/>
  <c r="CQ190" s="1"/>
  <c r="P190" s="1"/>
  <c r="AE190"/>
  <c r="CS190" s="1"/>
  <c r="R190" s="1"/>
  <c r="HI190" s="1"/>
  <c r="L441" i="5" s="1"/>
  <c r="Z448" s="1"/>
  <c r="AF190" i="1"/>
  <c r="AG190"/>
  <c r="CU190" s="1"/>
  <c r="T190" s="1"/>
  <c r="AH190"/>
  <c r="CV190" s="1"/>
  <c r="U190" s="1"/>
  <c r="G442" i="5" s="1"/>
  <c r="AI190" i="1"/>
  <c r="AJ190"/>
  <c r="CX190" s="1"/>
  <c r="W190" s="1"/>
  <c r="CW190"/>
  <c r="V190" s="1"/>
  <c r="G443" i="5" s="1"/>
  <c r="FR190" i="1"/>
  <c r="GL190"/>
  <c r="GO190"/>
  <c r="GP190"/>
  <c r="GV190"/>
  <c r="HC190" s="1"/>
  <c r="GX190" s="1"/>
  <c r="C191"/>
  <c r="D191"/>
  <c r="I191"/>
  <c r="G449" i="5" s="1"/>
  <c r="K191" i="1"/>
  <c r="AC191"/>
  <c r="CQ191" s="1"/>
  <c r="AD191"/>
  <c r="J452" i="5" s="1"/>
  <c r="AR456" s="1"/>
  <c r="AE191" i="1"/>
  <c r="CS191" s="1"/>
  <c r="R191" s="1"/>
  <c r="HI191" s="1"/>
  <c r="AF191"/>
  <c r="CT191" s="1"/>
  <c r="S191" s="1"/>
  <c r="AG191"/>
  <c r="CU191" s="1"/>
  <c r="T191" s="1"/>
  <c r="AH191"/>
  <c r="AI191"/>
  <c r="CW191" s="1"/>
  <c r="V191" s="1"/>
  <c r="G454" i="5" s="1"/>
  <c r="AJ191" i="1"/>
  <c r="CX191" s="1"/>
  <c r="W191" s="1"/>
  <c r="CR191"/>
  <c r="Q191" s="1"/>
  <c r="CV191"/>
  <c r="U191" s="1"/>
  <c r="G453" i="5" s="1"/>
  <c r="FR191" i="1"/>
  <c r="GL191"/>
  <c r="GO191"/>
  <c r="GP191"/>
  <c r="GV191"/>
  <c r="HC191" s="1"/>
  <c r="GX191" s="1"/>
  <c r="AC192"/>
  <c r="CQ192" s="1"/>
  <c r="P192" s="1"/>
  <c r="AE192"/>
  <c r="CS192" s="1"/>
  <c r="R192" s="1"/>
  <c r="HI192" s="1"/>
  <c r="AF192"/>
  <c r="CT192" s="1"/>
  <c r="S192" s="1"/>
  <c r="AG192"/>
  <c r="AH192"/>
  <c r="AI192"/>
  <c r="CW192" s="1"/>
  <c r="V192" s="1"/>
  <c r="AJ192"/>
  <c r="CX192" s="1"/>
  <c r="W192" s="1"/>
  <c r="CU192"/>
  <c r="T192" s="1"/>
  <c r="CV192"/>
  <c r="U192" s="1"/>
  <c r="FR192"/>
  <c r="GL192"/>
  <c r="GO192"/>
  <c r="GP192"/>
  <c r="GV192"/>
  <c r="HC192" s="1"/>
  <c r="GX192" s="1"/>
  <c r="C193"/>
  <c r="D193"/>
  <c r="I193"/>
  <c r="K193"/>
  <c r="AC193"/>
  <c r="CQ193" s="1"/>
  <c r="P193" s="1"/>
  <c r="AE193"/>
  <c r="CS193" s="1"/>
  <c r="AF193"/>
  <c r="CT193" s="1"/>
  <c r="S193" s="1"/>
  <c r="HJ193" s="1"/>
  <c r="AG193"/>
  <c r="AH193"/>
  <c r="CV193" s="1"/>
  <c r="U193" s="1"/>
  <c r="AI193"/>
  <c r="CW193" s="1"/>
  <c r="AJ193"/>
  <c r="CX193" s="1"/>
  <c r="CU193"/>
  <c r="T193" s="1"/>
  <c r="FR193"/>
  <c r="GL193"/>
  <c r="GO193"/>
  <c r="GP193"/>
  <c r="GV193"/>
  <c r="HC193" s="1"/>
  <c r="GX193" s="1"/>
  <c r="I194"/>
  <c r="K194"/>
  <c r="AC194"/>
  <c r="CQ194" s="1"/>
  <c r="AD194"/>
  <c r="CR194" s="1"/>
  <c r="Q194" s="1"/>
  <c r="AE194"/>
  <c r="AF194"/>
  <c r="CT194" s="1"/>
  <c r="S194" s="1"/>
  <c r="AG194"/>
  <c r="CU194" s="1"/>
  <c r="T194" s="1"/>
  <c r="AH194"/>
  <c r="CV194" s="1"/>
  <c r="U194" s="1"/>
  <c r="AI194"/>
  <c r="CW194" s="1"/>
  <c r="V194" s="1"/>
  <c r="AJ194"/>
  <c r="CX194" s="1"/>
  <c r="W194" s="1"/>
  <c r="CS194"/>
  <c r="R194" s="1"/>
  <c r="HI194" s="1"/>
  <c r="FR194"/>
  <c r="GL194"/>
  <c r="GO194"/>
  <c r="GP194"/>
  <c r="GV194"/>
  <c r="HC194" s="1"/>
  <c r="GX194" s="1"/>
  <c r="C195"/>
  <c r="D195"/>
  <c r="I195"/>
  <c r="K195"/>
  <c r="AC195"/>
  <c r="AE195"/>
  <c r="AD195" s="1"/>
  <c r="CR195" s="1"/>
  <c r="Q195" s="1"/>
  <c r="AF195"/>
  <c r="CT195" s="1"/>
  <c r="S195" s="1"/>
  <c r="AG195"/>
  <c r="AH195"/>
  <c r="CV195" s="1"/>
  <c r="U195" s="1"/>
  <c r="AI195"/>
  <c r="CW195" s="1"/>
  <c r="V195" s="1"/>
  <c r="AJ195"/>
  <c r="CQ195"/>
  <c r="P195" s="1"/>
  <c r="CU195"/>
  <c r="T195" s="1"/>
  <c r="CX195"/>
  <c r="W195" s="1"/>
  <c r="FR195"/>
  <c r="GL195"/>
  <c r="GO195"/>
  <c r="GP195"/>
  <c r="GV195"/>
  <c r="HC195" s="1"/>
  <c r="GX195" s="1"/>
  <c r="C196"/>
  <c r="D196"/>
  <c r="I196"/>
  <c r="K196"/>
  <c r="AC196"/>
  <c r="CQ196" s="1"/>
  <c r="P196" s="1"/>
  <c r="AE196"/>
  <c r="AD196" s="1"/>
  <c r="CR196" s="1"/>
  <c r="Q196" s="1"/>
  <c r="AF196"/>
  <c r="CT196" s="1"/>
  <c r="S196" s="1"/>
  <c r="AG196"/>
  <c r="AH196"/>
  <c r="CV196" s="1"/>
  <c r="U196" s="1"/>
  <c r="AI196"/>
  <c r="CW196" s="1"/>
  <c r="V196" s="1"/>
  <c r="AJ196"/>
  <c r="CU196"/>
  <c r="T196" s="1"/>
  <c r="CX196"/>
  <c r="W196" s="1"/>
  <c r="FR196"/>
  <c r="GL196"/>
  <c r="GO196"/>
  <c r="GP196"/>
  <c r="GV196"/>
  <c r="HC196" s="1"/>
  <c r="GX196" s="1"/>
  <c r="C197"/>
  <c r="D197"/>
  <c r="I197"/>
  <c r="K197"/>
  <c r="AC197"/>
  <c r="AB197" s="1"/>
  <c r="AE197"/>
  <c r="AD197" s="1"/>
  <c r="CR197" s="1"/>
  <c r="Q197" s="1"/>
  <c r="AF197"/>
  <c r="CT197" s="1"/>
  <c r="AG197"/>
  <c r="CU197" s="1"/>
  <c r="T197" s="1"/>
  <c r="AH197"/>
  <c r="CV197" s="1"/>
  <c r="U197" s="1"/>
  <c r="AI197"/>
  <c r="CW197" s="1"/>
  <c r="V197" s="1"/>
  <c r="AJ197"/>
  <c r="CX197" s="1"/>
  <c r="FR197"/>
  <c r="GL197"/>
  <c r="GO197"/>
  <c r="GP197"/>
  <c r="GV197"/>
  <c r="HC197" s="1"/>
  <c r="GX197" s="1"/>
  <c r="C198"/>
  <c r="D198"/>
  <c r="I198"/>
  <c r="K198"/>
  <c r="AC198"/>
  <c r="CQ198" s="1"/>
  <c r="P198" s="1"/>
  <c r="AE198"/>
  <c r="AF198"/>
  <c r="AG198"/>
  <c r="AH198"/>
  <c r="AI198"/>
  <c r="CW198" s="1"/>
  <c r="AJ198"/>
  <c r="CX198" s="1"/>
  <c r="CU198"/>
  <c r="T198" s="1"/>
  <c r="CV198"/>
  <c r="FR198"/>
  <c r="GL198"/>
  <c r="GO198"/>
  <c r="GP198"/>
  <c r="GV198"/>
  <c r="HC198" s="1"/>
  <c r="AC199"/>
  <c r="AE199"/>
  <c r="CS199" s="1"/>
  <c r="AF199"/>
  <c r="CT199" s="1"/>
  <c r="AG199"/>
  <c r="AH199"/>
  <c r="CV199" s="1"/>
  <c r="AI199"/>
  <c r="CW199" s="1"/>
  <c r="AJ199"/>
  <c r="CX199" s="1"/>
  <c r="CQ199"/>
  <c r="CU199"/>
  <c r="FR199"/>
  <c r="GL199"/>
  <c r="GO199"/>
  <c r="GP199"/>
  <c r="CD212" s="1"/>
  <c r="CD187" s="1"/>
  <c r="GV199"/>
  <c r="HC199" s="1"/>
  <c r="I200"/>
  <c r="G473" i="5" s="1"/>
  <c r="AC200" i="1"/>
  <c r="AE200"/>
  <c r="AD200" s="1"/>
  <c r="CR200" s="1"/>
  <c r="AF200"/>
  <c r="CT200" s="1"/>
  <c r="S200" s="1"/>
  <c r="AG200"/>
  <c r="CU200" s="1"/>
  <c r="AH200"/>
  <c r="AI200"/>
  <c r="AJ200"/>
  <c r="CS200"/>
  <c r="CV200"/>
  <c r="U200" s="1"/>
  <c r="CW200"/>
  <c r="CX200"/>
  <c r="W200" s="1"/>
  <c r="FR200"/>
  <c r="GL200"/>
  <c r="GO200"/>
  <c r="GP200"/>
  <c r="GV200"/>
  <c r="HC200" s="1"/>
  <c r="GX200" s="1"/>
  <c r="C201"/>
  <c r="D201"/>
  <c r="I201"/>
  <c r="G478" i="5" s="1"/>
  <c r="K201" i="1"/>
  <c r="E478" i="5" s="1"/>
  <c r="AC201" i="1"/>
  <c r="AE201"/>
  <c r="AF201"/>
  <c r="AG201"/>
  <c r="CU201" s="1"/>
  <c r="T201" s="1"/>
  <c r="AH201"/>
  <c r="AI201"/>
  <c r="CW201" s="1"/>
  <c r="V201" s="1"/>
  <c r="G484" i="5" s="1"/>
  <c r="AJ201" i="1"/>
  <c r="CT201"/>
  <c r="S201" s="1"/>
  <c r="CV201"/>
  <c r="U201" s="1"/>
  <c r="CX201"/>
  <c r="W201" s="1"/>
  <c r="FR201"/>
  <c r="GL201"/>
  <c r="GO201"/>
  <c r="GP201"/>
  <c r="GV201"/>
  <c r="HC201" s="1"/>
  <c r="GX201" s="1"/>
  <c r="I202"/>
  <c r="G486" i="5" s="1"/>
  <c r="AC202" i="1"/>
  <c r="AE202"/>
  <c r="AD202" s="1"/>
  <c r="AF202"/>
  <c r="CT202" s="1"/>
  <c r="S202" s="1"/>
  <c r="AG202"/>
  <c r="CU202" s="1"/>
  <c r="T202" s="1"/>
  <c r="AH202"/>
  <c r="CV202" s="1"/>
  <c r="U202" s="1"/>
  <c r="AI202"/>
  <c r="CW202" s="1"/>
  <c r="V202" s="1"/>
  <c r="AJ202"/>
  <c r="CX202" s="1"/>
  <c r="W202" s="1"/>
  <c r="CQ202"/>
  <c r="P202" s="1"/>
  <c r="FR202"/>
  <c r="GL202"/>
  <c r="GO202"/>
  <c r="GP202"/>
  <c r="GV202"/>
  <c r="HC202" s="1"/>
  <c r="GX202" s="1"/>
  <c r="I203"/>
  <c r="G491" i="5" s="1"/>
  <c r="K203" i="1"/>
  <c r="AC203"/>
  <c r="HG203" s="1"/>
  <c r="L491" i="5" s="1"/>
  <c r="K494" s="1"/>
  <c r="AE203" i="1"/>
  <c r="AD203" s="1"/>
  <c r="CR203" s="1"/>
  <c r="Q203" s="1"/>
  <c r="AF203"/>
  <c r="AG203"/>
  <c r="AH203"/>
  <c r="CV203" s="1"/>
  <c r="AI203"/>
  <c r="CW203" s="1"/>
  <c r="V203" s="1"/>
  <c r="AJ203"/>
  <c r="CX203" s="1"/>
  <c r="W203" s="1"/>
  <c r="CQ203"/>
  <c r="P203" s="1"/>
  <c r="J491" i="5" s="1"/>
  <c r="AX494" s="1"/>
  <c r="CS203" i="1"/>
  <c r="CT203"/>
  <c r="S203" s="1"/>
  <c r="CU203"/>
  <c r="FR203"/>
  <c r="GL203"/>
  <c r="GN203"/>
  <c r="GP203"/>
  <c r="GV203"/>
  <c r="HC203" s="1"/>
  <c r="C204"/>
  <c r="D204"/>
  <c r="I204"/>
  <c r="G495" i="5" s="1"/>
  <c r="K204" i="1"/>
  <c r="AC204"/>
  <c r="AE204"/>
  <c r="CS204" s="1"/>
  <c r="R204" s="1"/>
  <c r="HI204" s="1"/>
  <c r="L499" i="5" s="1"/>
  <c r="Z506" s="1"/>
  <c r="AF204" i="1"/>
  <c r="CT204" s="1"/>
  <c r="AG204"/>
  <c r="CU204" s="1"/>
  <c r="AH204"/>
  <c r="AI204"/>
  <c r="CW204" s="1"/>
  <c r="V204" s="1"/>
  <c r="G501" i="5" s="1"/>
  <c r="AJ204" i="1"/>
  <c r="CX204" s="1"/>
  <c r="CV204"/>
  <c r="U204" s="1"/>
  <c r="FR204"/>
  <c r="GL204"/>
  <c r="GO204"/>
  <c r="GP204"/>
  <c r="GV204"/>
  <c r="HC204" s="1"/>
  <c r="GX204" s="1"/>
  <c r="I205"/>
  <c r="K205"/>
  <c r="C509" i="5" s="1"/>
  <c r="AC205" i="1"/>
  <c r="AE205"/>
  <c r="CS205" s="1"/>
  <c r="R205" s="1"/>
  <c r="HI205" s="1"/>
  <c r="AF205"/>
  <c r="CT205" s="1"/>
  <c r="S205" s="1"/>
  <c r="AG205"/>
  <c r="CU205" s="1"/>
  <c r="T205" s="1"/>
  <c r="AH205"/>
  <c r="CV205" s="1"/>
  <c r="U205" s="1"/>
  <c r="AI205"/>
  <c r="CW205" s="1"/>
  <c r="V205" s="1"/>
  <c r="AJ205"/>
  <c r="CX205"/>
  <c r="W205" s="1"/>
  <c r="FR205"/>
  <c r="GL205"/>
  <c r="GN205"/>
  <c r="GP205"/>
  <c r="GV205"/>
  <c r="HC205" s="1"/>
  <c r="GX205" s="1"/>
  <c r="C206"/>
  <c r="D206"/>
  <c r="I206"/>
  <c r="G511" i="5" s="1"/>
  <c r="K206" i="1"/>
  <c r="AC206"/>
  <c r="AE206"/>
  <c r="J516" i="5" s="1"/>
  <c r="X525" s="1"/>
  <c r="AF206" i="1"/>
  <c r="J514" i="5" s="1"/>
  <c r="AQ525" s="1"/>
  <c r="AG206" i="1"/>
  <c r="AH206"/>
  <c r="CV206" s="1"/>
  <c r="U206" s="1"/>
  <c r="G518" i="5" s="1"/>
  <c r="AI206" i="1"/>
  <c r="AJ206"/>
  <c r="CX206" s="1"/>
  <c r="W206" s="1"/>
  <c r="CQ206"/>
  <c r="P206" s="1"/>
  <c r="CU206"/>
  <c r="T206" s="1"/>
  <c r="CW206"/>
  <c r="V206" s="1"/>
  <c r="G519" i="5" s="1"/>
  <c r="FR206" i="1"/>
  <c r="GL206"/>
  <c r="GO206"/>
  <c r="GP206"/>
  <c r="GV206"/>
  <c r="HC206" s="1"/>
  <c r="GX206" s="1"/>
  <c r="I207"/>
  <c r="G521" i="5" s="1"/>
  <c r="AC207" i="1"/>
  <c r="AE207"/>
  <c r="AD207" s="1"/>
  <c r="CR207" s="1"/>
  <c r="Q207" s="1"/>
  <c r="AF207"/>
  <c r="AG207"/>
  <c r="CU207" s="1"/>
  <c r="AH207"/>
  <c r="CV207" s="1"/>
  <c r="AI207"/>
  <c r="CW207" s="1"/>
  <c r="V207" s="1"/>
  <c r="AJ207"/>
  <c r="CT207"/>
  <c r="S207" s="1"/>
  <c r="CX207"/>
  <c r="W207" s="1"/>
  <c r="FR207"/>
  <c r="GL207"/>
  <c r="GO207"/>
  <c r="GP207"/>
  <c r="GV207"/>
  <c r="HC207" s="1"/>
  <c r="GX207" s="1"/>
  <c r="C208"/>
  <c r="D208"/>
  <c r="I208"/>
  <c r="G526" i="5" s="1"/>
  <c r="K208" i="1"/>
  <c r="C528" i="5" s="1"/>
  <c r="AC208" i="1"/>
  <c r="AE208"/>
  <c r="AD208" s="1"/>
  <c r="AF208"/>
  <c r="J529" i="5" s="1"/>
  <c r="AQ540" s="1"/>
  <c r="AG208" i="1"/>
  <c r="CU208" s="1"/>
  <c r="T208" s="1"/>
  <c r="AH208"/>
  <c r="AI208"/>
  <c r="CW208" s="1"/>
  <c r="V208" s="1"/>
  <c r="G534" i="5" s="1"/>
  <c r="AJ208" i="1"/>
  <c r="CT208"/>
  <c r="S208" s="1"/>
  <c r="CV208"/>
  <c r="U208" s="1"/>
  <c r="G533" i="5" s="1"/>
  <c r="CX208" i="1"/>
  <c r="W208" s="1"/>
  <c r="FR208"/>
  <c r="GL208"/>
  <c r="GO208"/>
  <c r="GP208"/>
  <c r="GV208"/>
  <c r="HC208" s="1"/>
  <c r="GX208" s="1"/>
  <c r="I209"/>
  <c r="G536" i="5" s="1"/>
  <c r="AC209" i="1"/>
  <c r="AE209"/>
  <c r="AD209" s="1"/>
  <c r="AF209"/>
  <c r="CT209" s="1"/>
  <c r="S209" s="1"/>
  <c r="AG209"/>
  <c r="CU209" s="1"/>
  <c r="T209" s="1"/>
  <c r="AH209"/>
  <c r="CV209" s="1"/>
  <c r="U209" s="1"/>
  <c r="AI209"/>
  <c r="CW209" s="1"/>
  <c r="V209" s="1"/>
  <c r="AJ209"/>
  <c r="CX209" s="1"/>
  <c r="W209" s="1"/>
  <c r="CQ209"/>
  <c r="P209" s="1"/>
  <c r="FR209"/>
  <c r="GL209"/>
  <c r="GO209"/>
  <c r="GP209"/>
  <c r="GV209"/>
  <c r="HC209" s="1"/>
  <c r="GX209" s="1"/>
  <c r="I210"/>
  <c r="G541" i="5" s="1"/>
  <c r="K210" i="1"/>
  <c r="AC210"/>
  <c r="AE210"/>
  <c r="AD210" s="1"/>
  <c r="CR210" s="1"/>
  <c r="Q210" s="1"/>
  <c r="AF210"/>
  <c r="AG210"/>
  <c r="AH210"/>
  <c r="CV210" s="1"/>
  <c r="AI210"/>
  <c r="CW210" s="1"/>
  <c r="V210" s="1"/>
  <c r="AJ210"/>
  <c r="CQ210"/>
  <c r="P210" s="1"/>
  <c r="J541" i="5" s="1"/>
  <c r="AX544" s="1"/>
  <c r="CS210" i="1"/>
  <c r="CT210"/>
  <c r="S210" s="1"/>
  <c r="CU210"/>
  <c r="CX210"/>
  <c r="FR210"/>
  <c r="GL210"/>
  <c r="GN210"/>
  <c r="GP210"/>
  <c r="GV210"/>
  <c r="HC210" s="1"/>
  <c r="B212"/>
  <c r="B187" s="1"/>
  <c r="C212"/>
  <c r="C187" s="1"/>
  <c r="D212"/>
  <c r="D187" s="1"/>
  <c r="F212"/>
  <c r="F187" s="1"/>
  <c r="G212"/>
  <c r="G187" s="1"/>
  <c r="BX212"/>
  <c r="BX187" s="1"/>
  <c r="CK212"/>
  <c r="CK187" s="1"/>
  <c r="CL212"/>
  <c r="CL187" s="1"/>
  <c r="D251"/>
  <c r="E253"/>
  <c r="Z253"/>
  <c r="AA253"/>
  <c r="AM253"/>
  <c r="AN253"/>
  <c r="BE253"/>
  <c r="BF253"/>
  <c r="BG253"/>
  <c r="BH253"/>
  <c r="BI253"/>
  <c r="BJ253"/>
  <c r="BK253"/>
  <c r="BL253"/>
  <c r="BM253"/>
  <c r="BN253"/>
  <c r="BO253"/>
  <c r="BP253"/>
  <c r="BQ253"/>
  <c r="BR253"/>
  <c r="BS253"/>
  <c r="BT253"/>
  <c r="BU253"/>
  <c r="BV253"/>
  <c r="BW253"/>
  <c r="CN253"/>
  <c r="CO253"/>
  <c r="CP253"/>
  <c r="CQ253"/>
  <c r="CR253"/>
  <c r="CS253"/>
  <c r="CT253"/>
  <c r="CU253"/>
  <c r="CV253"/>
  <c r="CW253"/>
  <c r="CX253"/>
  <c r="CY253"/>
  <c r="CZ253"/>
  <c r="DA253"/>
  <c r="DB253"/>
  <c r="DC253"/>
  <c r="DD253"/>
  <c r="DE253"/>
  <c r="DF253"/>
  <c r="DG253"/>
  <c r="DH253"/>
  <c r="DI253"/>
  <c r="DJ253"/>
  <c r="DK253"/>
  <c r="DL253"/>
  <c r="DM253"/>
  <c r="DN253"/>
  <c r="DO253"/>
  <c r="DP253"/>
  <c r="DQ253"/>
  <c r="DR253"/>
  <c r="DS253"/>
  <c r="DT253"/>
  <c r="DU253"/>
  <c r="DV253"/>
  <c r="DW253"/>
  <c r="DX253"/>
  <c r="DY253"/>
  <c r="DZ253"/>
  <c r="EA253"/>
  <c r="EB253"/>
  <c r="EC253"/>
  <c r="ED253"/>
  <c r="EE253"/>
  <c r="EF253"/>
  <c r="EG253"/>
  <c r="EH253"/>
  <c r="EI253"/>
  <c r="EJ253"/>
  <c r="EK253"/>
  <c r="EL253"/>
  <c r="EM253"/>
  <c r="EN253"/>
  <c r="EO253"/>
  <c r="EP253"/>
  <c r="EQ253"/>
  <c r="ER253"/>
  <c r="ES253"/>
  <c r="ET253"/>
  <c r="EU253"/>
  <c r="EV253"/>
  <c r="EW253"/>
  <c r="EX253"/>
  <c r="EY253"/>
  <c r="EZ253"/>
  <c r="FA253"/>
  <c r="FB253"/>
  <c r="FC253"/>
  <c r="FD253"/>
  <c r="FE253"/>
  <c r="FF253"/>
  <c r="FG253"/>
  <c r="FH253"/>
  <c r="FI253"/>
  <c r="FJ253"/>
  <c r="FK253"/>
  <c r="FL253"/>
  <c r="FM253"/>
  <c r="FN253"/>
  <c r="FO253"/>
  <c r="FP253"/>
  <c r="FQ253"/>
  <c r="FR253"/>
  <c r="FS253"/>
  <c r="FT253"/>
  <c r="FU253"/>
  <c r="FV253"/>
  <c r="FW253"/>
  <c r="FX253"/>
  <c r="FY253"/>
  <c r="FZ253"/>
  <c r="GA253"/>
  <c r="GB253"/>
  <c r="GC253"/>
  <c r="GD253"/>
  <c r="GE253"/>
  <c r="GF253"/>
  <c r="GG253"/>
  <c r="GH253"/>
  <c r="GI253"/>
  <c r="GJ253"/>
  <c r="GK253"/>
  <c r="GL253"/>
  <c r="GM253"/>
  <c r="GN253"/>
  <c r="GO253"/>
  <c r="GP253"/>
  <c r="GQ253"/>
  <c r="GR253"/>
  <c r="GS253"/>
  <c r="GT253"/>
  <c r="GU253"/>
  <c r="GV253"/>
  <c r="GW253"/>
  <c r="GX253"/>
  <c r="AC255"/>
  <c r="AE255"/>
  <c r="CS255" s="1"/>
  <c r="R255" s="1"/>
  <c r="AF255"/>
  <c r="CT255" s="1"/>
  <c r="S255" s="1"/>
  <c r="AG255"/>
  <c r="AH255"/>
  <c r="CV255" s="1"/>
  <c r="U255" s="1"/>
  <c r="AI255"/>
  <c r="CW255" s="1"/>
  <c r="V255" s="1"/>
  <c r="AJ255"/>
  <c r="CQ255"/>
  <c r="P255" s="1"/>
  <c r="J568" i="5" s="1"/>
  <c r="AX570" s="1"/>
  <c r="CU255" i="1"/>
  <c r="T255" s="1"/>
  <c r="CX255"/>
  <c r="W255" s="1"/>
  <c r="FR255"/>
  <c r="GL255"/>
  <c r="GN255"/>
  <c r="GP255"/>
  <c r="CD263" s="1"/>
  <c r="AU263" s="1"/>
  <c r="GV255"/>
  <c r="HC255" s="1"/>
  <c r="GX255" s="1"/>
  <c r="HG255"/>
  <c r="L568" i="5" s="1"/>
  <c r="K570" s="1"/>
  <c r="BS570" s="1"/>
  <c r="AC256" i="1"/>
  <c r="AE256"/>
  <c r="CS256" s="1"/>
  <c r="R256" s="1"/>
  <c r="HI256" s="1"/>
  <c r="AF256"/>
  <c r="CT256" s="1"/>
  <c r="S256" s="1"/>
  <c r="AG256"/>
  <c r="CU256" s="1"/>
  <c r="T256" s="1"/>
  <c r="AH256"/>
  <c r="CV256" s="1"/>
  <c r="U256" s="1"/>
  <c r="AI256"/>
  <c r="AJ256"/>
  <c r="CX256" s="1"/>
  <c r="W256" s="1"/>
  <c r="CW256"/>
  <c r="V256" s="1"/>
  <c r="FR256"/>
  <c r="GL256"/>
  <c r="GO256"/>
  <c r="GP256"/>
  <c r="GV256"/>
  <c r="HC256" s="1"/>
  <c r="GX256" s="1"/>
  <c r="AC257"/>
  <c r="HG257" s="1"/>
  <c r="L574" i="5" s="1"/>
  <c r="K576" s="1"/>
  <c r="BS576" s="1"/>
  <c r="AE257" i="1"/>
  <c r="AD257" s="1"/>
  <c r="CR257" s="1"/>
  <c r="Q257" s="1"/>
  <c r="AF257"/>
  <c r="CT257" s="1"/>
  <c r="S257" s="1"/>
  <c r="AG257"/>
  <c r="CU257" s="1"/>
  <c r="T257" s="1"/>
  <c r="AH257"/>
  <c r="CV257" s="1"/>
  <c r="U257" s="1"/>
  <c r="AI257"/>
  <c r="AJ257"/>
  <c r="CS257"/>
  <c r="R257" s="1"/>
  <c r="HI257" s="1"/>
  <c r="CW257"/>
  <c r="V257" s="1"/>
  <c r="CX257"/>
  <c r="W257" s="1"/>
  <c r="FR257"/>
  <c r="GL257"/>
  <c r="GN257"/>
  <c r="GP257"/>
  <c r="GV257"/>
  <c r="HC257"/>
  <c r="GX257" s="1"/>
  <c r="AC258"/>
  <c r="AE258"/>
  <c r="AD258" s="1"/>
  <c r="AF258"/>
  <c r="CT258" s="1"/>
  <c r="S258" s="1"/>
  <c r="AG258"/>
  <c r="CU258" s="1"/>
  <c r="T258" s="1"/>
  <c r="AH258"/>
  <c r="CV258" s="1"/>
  <c r="U258" s="1"/>
  <c r="AI258"/>
  <c r="CW258" s="1"/>
  <c r="V258" s="1"/>
  <c r="AJ258"/>
  <c r="CX258" s="1"/>
  <c r="W258" s="1"/>
  <c r="FR258"/>
  <c r="GL258"/>
  <c r="GN258"/>
  <c r="GP258"/>
  <c r="GV258"/>
  <c r="HC258"/>
  <c r="GX258" s="1"/>
  <c r="AC259"/>
  <c r="AE259"/>
  <c r="AD259" s="1"/>
  <c r="AF259"/>
  <c r="CT259" s="1"/>
  <c r="S259" s="1"/>
  <c r="AG259"/>
  <c r="CU259" s="1"/>
  <c r="T259" s="1"/>
  <c r="AH259"/>
  <c r="AI259"/>
  <c r="AJ259"/>
  <c r="CX259" s="1"/>
  <c r="W259" s="1"/>
  <c r="CV259"/>
  <c r="U259" s="1"/>
  <c r="CW259"/>
  <c r="V259" s="1"/>
  <c r="FR259"/>
  <c r="GL259"/>
  <c r="BZ263" s="1"/>
  <c r="AQ263" s="1"/>
  <c r="GN259"/>
  <c r="GP259"/>
  <c r="GV259"/>
  <c r="HC259" s="1"/>
  <c r="GX259" s="1"/>
  <c r="AC260"/>
  <c r="AE260"/>
  <c r="AD260" s="1"/>
  <c r="AF260"/>
  <c r="CT260" s="1"/>
  <c r="S260" s="1"/>
  <c r="AG260"/>
  <c r="CU260" s="1"/>
  <c r="T260" s="1"/>
  <c r="AH260"/>
  <c r="AI260"/>
  <c r="CW260" s="1"/>
  <c r="V260" s="1"/>
  <c r="AJ260"/>
  <c r="CX260" s="1"/>
  <c r="W260" s="1"/>
  <c r="CS260"/>
  <c r="R260" s="1"/>
  <c r="HI260" s="1"/>
  <c r="CV260"/>
  <c r="U260" s="1"/>
  <c r="FR260"/>
  <c r="GL260"/>
  <c r="GN260"/>
  <c r="GP260"/>
  <c r="GV260"/>
  <c r="HC260" s="1"/>
  <c r="GX260" s="1"/>
  <c r="AC261"/>
  <c r="CQ261" s="1"/>
  <c r="P261" s="1"/>
  <c r="J586" i="5" s="1"/>
  <c r="AX588" s="1"/>
  <c r="AE261" i="1"/>
  <c r="AD261" s="1"/>
  <c r="AF261"/>
  <c r="CT261" s="1"/>
  <c r="S261" s="1"/>
  <c r="AG261"/>
  <c r="CU261" s="1"/>
  <c r="T261" s="1"/>
  <c r="AH261"/>
  <c r="AI261"/>
  <c r="CW261" s="1"/>
  <c r="V261" s="1"/>
  <c r="AJ261"/>
  <c r="CX261" s="1"/>
  <c r="W261" s="1"/>
  <c r="CV261"/>
  <c r="U261" s="1"/>
  <c r="FR261"/>
  <c r="GL261"/>
  <c r="GN261"/>
  <c r="GP261"/>
  <c r="GV261"/>
  <c r="HC261"/>
  <c r="GX261" s="1"/>
  <c r="HG261"/>
  <c r="L586" i="5" s="1"/>
  <c r="K588" s="1"/>
  <c r="BS588" s="1"/>
  <c r="B263" i="1"/>
  <c r="B253" s="1"/>
  <c r="C263"/>
  <c r="C253" s="1"/>
  <c r="D263"/>
  <c r="D253" s="1"/>
  <c r="F263"/>
  <c r="F253" s="1"/>
  <c r="G263"/>
  <c r="G253" s="1"/>
  <c r="BX263"/>
  <c r="BX253" s="1"/>
  <c r="CK263"/>
  <c r="BB263" s="1"/>
  <c r="CL263"/>
  <c r="BC263" s="1"/>
  <c r="CM263"/>
  <c r="BD263" s="1"/>
  <c r="D302"/>
  <c r="E304"/>
  <c r="Z304"/>
  <c r="AA304"/>
  <c r="AM304"/>
  <c r="AN304"/>
  <c r="BE304"/>
  <c r="BF304"/>
  <c r="BG304"/>
  <c r="BH304"/>
  <c r="BI304"/>
  <c r="BJ304"/>
  <c r="BK304"/>
  <c r="BL304"/>
  <c r="BM304"/>
  <c r="BN304"/>
  <c r="BO304"/>
  <c r="BP304"/>
  <c r="BQ304"/>
  <c r="BR304"/>
  <c r="BS304"/>
  <c r="BT304"/>
  <c r="BU304"/>
  <c r="BV304"/>
  <c r="BW304"/>
  <c r="CN304"/>
  <c r="CO304"/>
  <c r="CP304"/>
  <c r="CQ304"/>
  <c r="CR304"/>
  <c r="CS304"/>
  <c r="CT304"/>
  <c r="CU304"/>
  <c r="CV304"/>
  <c r="CW304"/>
  <c r="CX304"/>
  <c r="CY304"/>
  <c r="CZ304"/>
  <c r="DA304"/>
  <c r="DB304"/>
  <c r="DC304"/>
  <c r="DD304"/>
  <c r="DE304"/>
  <c r="DF304"/>
  <c r="DG304"/>
  <c r="DH304"/>
  <c r="DI304"/>
  <c r="DJ304"/>
  <c r="DK304"/>
  <c r="DL304"/>
  <c r="DM304"/>
  <c r="DN304"/>
  <c r="DO304"/>
  <c r="DP304"/>
  <c r="DQ304"/>
  <c r="DR304"/>
  <c r="DS304"/>
  <c r="DT304"/>
  <c r="DU304"/>
  <c r="DV304"/>
  <c r="DW304"/>
  <c r="DX304"/>
  <c r="DY304"/>
  <c r="DZ304"/>
  <c r="EA304"/>
  <c r="EB304"/>
  <c r="EC304"/>
  <c r="ED304"/>
  <c r="EE304"/>
  <c r="EF304"/>
  <c r="EG304"/>
  <c r="EH304"/>
  <c r="EI304"/>
  <c r="EJ304"/>
  <c r="EK304"/>
  <c r="EL304"/>
  <c r="EM304"/>
  <c r="EN304"/>
  <c r="EO304"/>
  <c r="EP304"/>
  <c r="EQ304"/>
  <c r="ER304"/>
  <c r="ES304"/>
  <c r="ET304"/>
  <c r="EU304"/>
  <c r="EV304"/>
  <c r="EW304"/>
  <c r="EX304"/>
  <c r="EY304"/>
  <c r="EZ304"/>
  <c r="FA304"/>
  <c r="FB304"/>
  <c r="FC304"/>
  <c r="FD304"/>
  <c r="FE304"/>
  <c r="FF304"/>
  <c r="FG304"/>
  <c r="FH304"/>
  <c r="FI304"/>
  <c r="FJ304"/>
  <c r="FK304"/>
  <c r="FL304"/>
  <c r="FM304"/>
  <c r="FN304"/>
  <c r="FO304"/>
  <c r="FP304"/>
  <c r="FQ304"/>
  <c r="FR304"/>
  <c r="FS304"/>
  <c r="FT304"/>
  <c r="FU304"/>
  <c r="FV304"/>
  <c r="FW304"/>
  <c r="FX304"/>
  <c r="FY304"/>
  <c r="FZ304"/>
  <c r="GA304"/>
  <c r="GB304"/>
  <c r="GC304"/>
  <c r="GD304"/>
  <c r="GE304"/>
  <c r="GF304"/>
  <c r="GG304"/>
  <c r="GH304"/>
  <c r="GI304"/>
  <c r="GJ304"/>
  <c r="GK304"/>
  <c r="GL304"/>
  <c r="GM304"/>
  <c r="GN304"/>
  <c r="GO304"/>
  <c r="GP304"/>
  <c r="GQ304"/>
  <c r="GR304"/>
  <c r="GS304"/>
  <c r="GT304"/>
  <c r="GU304"/>
  <c r="GV304"/>
  <c r="GW304"/>
  <c r="GX304"/>
  <c r="C306"/>
  <c r="D306"/>
  <c r="AC306"/>
  <c r="AE306"/>
  <c r="AD306" s="1"/>
  <c r="CR306" s="1"/>
  <c r="Q306" s="1"/>
  <c r="AF306"/>
  <c r="J615" i="5" s="1"/>
  <c r="AG306" i="1"/>
  <c r="AH306"/>
  <c r="CV306" s="1"/>
  <c r="U306" s="1"/>
  <c r="G616" i="5" s="1"/>
  <c r="AI306" i="1"/>
  <c r="AJ306"/>
  <c r="CX306" s="1"/>
  <c r="W306" s="1"/>
  <c r="CS306"/>
  <c r="R306" s="1"/>
  <c r="CT306"/>
  <c r="S306" s="1"/>
  <c r="CU306"/>
  <c r="T306" s="1"/>
  <c r="CW306"/>
  <c r="V306" s="1"/>
  <c r="AI309" s="1"/>
  <c r="FR306"/>
  <c r="GL306"/>
  <c r="GN306"/>
  <c r="GO306"/>
  <c r="GV306"/>
  <c r="HC306" s="1"/>
  <c r="GX306" s="1"/>
  <c r="C307"/>
  <c r="D307"/>
  <c r="AC307"/>
  <c r="CQ307" s="1"/>
  <c r="P307" s="1"/>
  <c r="AE307"/>
  <c r="AD307" s="1"/>
  <c r="AF307"/>
  <c r="AG307"/>
  <c r="CU307" s="1"/>
  <c r="T307" s="1"/>
  <c r="AH307"/>
  <c r="AI307"/>
  <c r="AJ307"/>
  <c r="CX307" s="1"/>
  <c r="W307" s="1"/>
  <c r="CV307"/>
  <c r="U307" s="1"/>
  <c r="G625" i="5" s="1"/>
  <c r="CW307" i="1"/>
  <c r="V307" s="1"/>
  <c r="FR307"/>
  <c r="BY309" s="1"/>
  <c r="GL307"/>
  <c r="GN307"/>
  <c r="GO307"/>
  <c r="CC309" s="1"/>
  <c r="GV307"/>
  <c r="HC307" s="1"/>
  <c r="GX307" s="1"/>
  <c r="B309"/>
  <c r="B304" s="1"/>
  <c r="C309"/>
  <c r="C304" s="1"/>
  <c r="D309"/>
  <c r="D304" s="1"/>
  <c r="F309"/>
  <c r="F304" s="1"/>
  <c r="G309"/>
  <c r="G304" s="1"/>
  <c r="BX309"/>
  <c r="AO309" s="1"/>
  <c r="CB309"/>
  <c r="AS309" s="1"/>
  <c r="CK309"/>
  <c r="CK304" s="1"/>
  <c r="CL309"/>
  <c r="CL304" s="1"/>
  <c r="CM309"/>
  <c r="BD309" s="1"/>
  <c r="B348"/>
  <c r="B22" s="1"/>
  <c r="C348"/>
  <c r="C22" s="1"/>
  <c r="D348"/>
  <c r="D22" s="1"/>
  <c r="F348"/>
  <c r="F22" s="1"/>
  <c r="G348"/>
  <c r="G22" s="1"/>
  <c r="B387"/>
  <c r="B18" s="1"/>
  <c r="C387"/>
  <c r="C18" s="1"/>
  <c r="D387"/>
  <c r="D18" s="1"/>
  <c r="F387"/>
  <c r="F18" s="1"/>
  <c r="G387"/>
  <c r="G18" s="1"/>
  <c r="E18" i="2"/>
  <c r="F18"/>
  <c r="G18"/>
  <c r="H18"/>
  <c r="I18"/>
  <c r="J18"/>
  <c r="B51"/>
  <c r="B52"/>
  <c r="B53"/>
  <c r="B54"/>
  <c r="B55"/>
  <c r="CS32" i="1" l="1"/>
  <c r="R32" s="1"/>
  <c r="HI32" s="1"/>
  <c r="L79" i="5" s="1"/>
  <c r="Z85" s="1"/>
  <c r="AD32" i="1"/>
  <c r="J79" i="5"/>
  <c r="X85" s="1"/>
  <c r="CQ259" i="1"/>
  <c r="P259" s="1"/>
  <c r="J580" i="5"/>
  <c r="AX582" s="1"/>
  <c r="T210" i="1"/>
  <c r="C543" i="5"/>
  <c r="E541"/>
  <c r="AB207" i="1"/>
  <c r="J521" i="5"/>
  <c r="AO521" s="1"/>
  <c r="C497"/>
  <c r="E495"/>
  <c r="T203" i="1"/>
  <c r="E491" i="5"/>
  <c r="C493"/>
  <c r="J473"/>
  <c r="AF473" s="1"/>
  <c r="C464"/>
  <c r="E462"/>
  <c r="W197" i="1"/>
  <c r="V193"/>
  <c r="AD189"/>
  <c r="AB143"/>
  <c r="J387" i="5"/>
  <c r="AF394" s="1"/>
  <c r="BZ99" i="1"/>
  <c r="CR97"/>
  <c r="Q97" s="1"/>
  <c r="J336" i="5"/>
  <c r="AZ343" s="1"/>
  <c r="CT92" i="1"/>
  <c r="S92" s="1"/>
  <c r="J287" i="5"/>
  <c r="R297" s="1"/>
  <c r="I199" i="1"/>
  <c r="G472" i="5" s="1"/>
  <c r="G462"/>
  <c r="BY26" i="1"/>
  <c r="CI40"/>
  <c r="CI26" s="1"/>
  <c r="C383" i="5"/>
  <c r="CQ256" i="1"/>
  <c r="P256" s="1"/>
  <c r="J571" i="5"/>
  <c r="AN573" s="1"/>
  <c r="AB306" i="1"/>
  <c r="CR208"/>
  <c r="Q208" s="1"/>
  <c r="J530" i="5"/>
  <c r="AB540" s="1"/>
  <c r="AD201" i="1"/>
  <c r="AB201" s="1"/>
  <c r="J482" i="5"/>
  <c r="X490" s="1"/>
  <c r="AD92" i="1"/>
  <c r="J288" i="5" s="1"/>
  <c r="AZ297" s="1"/>
  <c r="J289"/>
  <c r="X297" s="1"/>
  <c r="CS92" i="1"/>
  <c r="R92" s="1"/>
  <c r="HI92" s="1"/>
  <c r="L289" i="5" s="1"/>
  <c r="Z297" s="1"/>
  <c r="CT307" i="1"/>
  <c r="S307" s="1"/>
  <c r="J624" i="5"/>
  <c r="AG309" i="1"/>
  <c r="AD256"/>
  <c r="CR256" s="1"/>
  <c r="Q256" s="1"/>
  <c r="R210"/>
  <c r="HI210" s="1"/>
  <c r="AB208"/>
  <c r="J532" i="5"/>
  <c r="AF540" s="1"/>
  <c r="R203" i="1"/>
  <c r="HI203" s="1"/>
  <c r="J483" i="5"/>
  <c r="AF490" s="1"/>
  <c r="V200" i="1"/>
  <c r="AI212" s="1"/>
  <c r="GX199"/>
  <c r="U198"/>
  <c r="G469" i="5" s="1"/>
  <c r="CT190" i="1"/>
  <c r="S190" s="1"/>
  <c r="J439" i="5"/>
  <c r="AQ448" s="1"/>
  <c r="C425"/>
  <c r="E423"/>
  <c r="S144" i="1"/>
  <c r="CQ258"/>
  <c r="P258" s="1"/>
  <c r="J577" i="5"/>
  <c r="AX579" s="1"/>
  <c r="HG210" i="1"/>
  <c r="L541" i="5" s="1"/>
  <c r="K544" s="1"/>
  <c r="CS207" i="1"/>
  <c r="R207" s="1"/>
  <c r="HI207" s="1"/>
  <c r="AD205"/>
  <c r="CR205" s="1"/>
  <c r="Q205" s="1"/>
  <c r="S197"/>
  <c r="R193"/>
  <c r="HI193" s="1"/>
  <c r="AD190"/>
  <c r="J395" i="5"/>
  <c r="AX398" s="1"/>
  <c r="CQ143" i="1"/>
  <c r="P143" s="1"/>
  <c r="CR94"/>
  <c r="Q94" s="1"/>
  <c r="J312" i="5"/>
  <c r="AB321" s="1"/>
  <c r="E190"/>
  <c r="C192"/>
  <c r="R84" i="1"/>
  <c r="HI84" s="1"/>
  <c r="CX1" i="3"/>
  <c r="G32" i="5"/>
  <c r="C34"/>
  <c r="CQ306" i="1"/>
  <c r="P306" s="1"/>
  <c r="CS259"/>
  <c r="R259" s="1"/>
  <c r="HI259" s="1"/>
  <c r="GX210"/>
  <c r="W204"/>
  <c r="GX203"/>
  <c r="R200"/>
  <c r="HI200" s="1"/>
  <c r="W198"/>
  <c r="CP195"/>
  <c r="O195" s="1"/>
  <c r="AD193"/>
  <c r="E395" i="5"/>
  <c r="C397"/>
  <c r="CT97" i="1"/>
  <c r="S97" s="1"/>
  <c r="AB94"/>
  <c r="J314" i="5"/>
  <c r="AY321" s="1"/>
  <c r="CQ38" i="1"/>
  <c r="P38" s="1"/>
  <c r="J135" i="5"/>
  <c r="AF141" s="1"/>
  <c r="AB29" i="1"/>
  <c r="CQ29"/>
  <c r="P29" s="1"/>
  <c r="S28"/>
  <c r="U210"/>
  <c r="U203"/>
  <c r="V198"/>
  <c r="G470" i="5" s="1"/>
  <c r="CZ193" i="1"/>
  <c r="Y193" s="1"/>
  <c r="W189"/>
  <c r="CS142"/>
  <c r="R142" s="1"/>
  <c r="J372" i="5"/>
  <c r="X380" s="1"/>
  <c r="CR88" i="1"/>
  <c r="Q88" s="1"/>
  <c r="J236" i="5"/>
  <c r="AZ245" s="1"/>
  <c r="CR86" i="1"/>
  <c r="Q86" s="1"/>
  <c r="J208" i="5"/>
  <c r="AB217" s="1"/>
  <c r="CR30" i="1"/>
  <c r="Q30" s="1"/>
  <c r="J56" i="5"/>
  <c r="AN64" s="1"/>
  <c r="C44"/>
  <c r="E42"/>
  <c r="C480"/>
  <c r="J536"/>
  <c r="AO536" s="1"/>
  <c r="CS208" i="1"/>
  <c r="R208" s="1"/>
  <c r="HI208" s="1"/>
  <c r="L531" i="5" s="1"/>
  <c r="Z540" s="1"/>
  <c r="U207" i="1"/>
  <c r="AD206"/>
  <c r="HG205"/>
  <c r="L507" i="5" s="1"/>
  <c r="K510" s="1"/>
  <c r="G507"/>
  <c r="J486"/>
  <c r="AO486" s="1"/>
  <c r="CS201" i="1"/>
  <c r="R201" s="1"/>
  <c r="HI201" s="1"/>
  <c r="L482" i="5" s="1"/>
  <c r="Z490" s="1"/>
  <c r="AD199" i="1"/>
  <c r="CR199" s="1"/>
  <c r="Q199" s="1"/>
  <c r="CY193"/>
  <c r="X193" s="1"/>
  <c r="GX143"/>
  <c r="CJ146" s="1"/>
  <c r="U143"/>
  <c r="G388" i="5" s="1"/>
  <c r="AD142" i="1"/>
  <c r="AB86"/>
  <c r="J210" i="5"/>
  <c r="AY217" s="1"/>
  <c r="CQ86" i="1"/>
  <c r="P86" s="1"/>
  <c r="AB30"/>
  <c r="CQ30"/>
  <c r="P30" s="1"/>
  <c r="J441" i="5"/>
  <c r="X448" s="1"/>
  <c r="E507"/>
  <c r="E526"/>
  <c r="CS307" i="1"/>
  <c r="R307" s="1"/>
  <c r="HI307" s="1"/>
  <c r="CQ260"/>
  <c r="P260" s="1"/>
  <c r="J583" i="5"/>
  <c r="AX585" s="1"/>
  <c r="AD255" i="1"/>
  <c r="CR255" s="1"/>
  <c r="Q255" s="1"/>
  <c r="BZ212"/>
  <c r="T207"/>
  <c r="AB206"/>
  <c r="J517" i="5"/>
  <c r="AF525" s="1"/>
  <c r="T204" i="1"/>
  <c r="U189"/>
  <c r="G429" i="5" s="1"/>
  <c r="CS144" i="1"/>
  <c r="R144" s="1"/>
  <c r="HI144" s="1"/>
  <c r="CD146"/>
  <c r="BY99"/>
  <c r="AP99" s="1"/>
  <c r="CT33"/>
  <c r="S33" s="1"/>
  <c r="J89" i="5"/>
  <c r="AQ95" s="1"/>
  <c r="C133"/>
  <c r="CS261" i="1"/>
  <c r="R261" s="1"/>
  <c r="HI261" s="1"/>
  <c r="CS258"/>
  <c r="R258" s="1"/>
  <c r="HI258" s="1"/>
  <c r="AB255"/>
  <c r="C513" i="5"/>
  <c r="E511"/>
  <c r="CQ205" i="1"/>
  <c r="P205" s="1"/>
  <c r="S204"/>
  <c r="CZ204" s="1"/>
  <c r="Y204" s="1"/>
  <c r="AI495" i="5" s="1"/>
  <c r="J505" s="1"/>
  <c r="T200" i="1"/>
  <c r="T199"/>
  <c r="GX198"/>
  <c r="CT198"/>
  <c r="S198" s="1"/>
  <c r="J465" i="5"/>
  <c r="R477" s="1"/>
  <c r="P194" i="1"/>
  <c r="P191"/>
  <c r="T189"/>
  <c r="P144"/>
  <c r="J384" i="5"/>
  <c r="Q394" s="1"/>
  <c r="C369"/>
  <c r="E367"/>
  <c r="AD95" i="1"/>
  <c r="CS95"/>
  <c r="R95" s="1"/>
  <c r="HI95" s="1"/>
  <c r="E274" i="5"/>
  <c r="C276"/>
  <c r="CT87" i="1"/>
  <c r="S87" s="1"/>
  <c r="J221" i="5"/>
  <c r="Q231" s="1"/>
  <c r="BZ309" i="1"/>
  <c r="W210"/>
  <c r="CT206"/>
  <c r="S206" s="1"/>
  <c r="AD204"/>
  <c r="J498" i="5" s="1"/>
  <c r="J499"/>
  <c r="X506" s="1"/>
  <c r="J503" s="1"/>
  <c r="AD198" i="1"/>
  <c r="J467" i="5"/>
  <c r="X477" s="1"/>
  <c r="E449"/>
  <c r="C451"/>
  <c r="CT189" i="1"/>
  <c r="S189" s="1"/>
  <c r="J426" i="5"/>
  <c r="Q435" s="1"/>
  <c r="W144" i="1"/>
  <c r="BZ146"/>
  <c r="J386" i="5"/>
  <c r="X394" s="1"/>
  <c r="CQ95" i="1"/>
  <c r="P95" s="1"/>
  <c r="J325" i="5"/>
  <c r="AY332" s="1"/>
  <c r="CQ94" i="1"/>
  <c r="P94" s="1"/>
  <c r="CP94" s="1"/>
  <c r="O94" s="1"/>
  <c r="GM94" s="1"/>
  <c r="J223" i="5"/>
  <c r="X231" s="1"/>
  <c r="CS87" i="1"/>
  <c r="R87" s="1"/>
  <c r="HI87" s="1"/>
  <c r="L223" i="5" s="1"/>
  <c r="Z231" s="1"/>
  <c r="AD87" i="1"/>
  <c r="J180" i="5"/>
  <c r="R189" s="1"/>
  <c r="BY263" i="1"/>
  <c r="AB257"/>
  <c r="AB210"/>
  <c r="CS209"/>
  <c r="R209" s="1"/>
  <c r="HI209" s="1"/>
  <c r="CS206"/>
  <c r="R206" s="1"/>
  <c r="HI206" s="1"/>
  <c r="L516" i="5" s="1"/>
  <c r="Z525" s="1"/>
  <c r="CQ204" i="1"/>
  <c r="P204" s="1"/>
  <c r="J500" i="5"/>
  <c r="AO506" s="1"/>
  <c r="AB203" i="1"/>
  <c r="CS202"/>
  <c r="R202" s="1"/>
  <c r="HI202" s="1"/>
  <c r="Q200"/>
  <c r="J468" i="5"/>
  <c r="AO477" s="1"/>
  <c r="CQ197" i="1"/>
  <c r="P197" s="1"/>
  <c r="W193"/>
  <c r="J428" i="5"/>
  <c r="X435" s="1"/>
  <c r="CR143" i="1"/>
  <c r="Q143" s="1"/>
  <c r="J385" i="5"/>
  <c r="CR84" i="1"/>
  <c r="Q84" s="1"/>
  <c r="J181" i="5"/>
  <c r="AZ189" s="1"/>
  <c r="E436"/>
  <c r="J531"/>
  <c r="X540" s="1"/>
  <c r="AB90" i="1"/>
  <c r="CP88"/>
  <c r="O88" s="1"/>
  <c r="G65" i="5"/>
  <c r="J124"/>
  <c r="AO130" s="1"/>
  <c r="C220"/>
  <c r="C248"/>
  <c r="W91" i="1"/>
  <c r="AD91"/>
  <c r="CR91" s="1"/>
  <c r="Q91" s="1"/>
  <c r="T90"/>
  <c r="R89"/>
  <c r="HI89" s="1"/>
  <c r="L251" i="5" s="1"/>
  <c r="Z259" s="1"/>
  <c r="AD85" i="1"/>
  <c r="V84"/>
  <c r="G184" i="5" s="1"/>
  <c r="AB84" i="1"/>
  <c r="S83"/>
  <c r="E52" i="5"/>
  <c r="J57"/>
  <c r="X64" s="1"/>
  <c r="G86"/>
  <c r="J104"/>
  <c r="J105" s="1"/>
  <c r="J290"/>
  <c r="AF297" s="1"/>
  <c r="J313"/>
  <c r="X321" s="1"/>
  <c r="V91" i="1"/>
  <c r="AB91"/>
  <c r="P89"/>
  <c r="W85"/>
  <c r="AB85"/>
  <c r="T84"/>
  <c r="V37"/>
  <c r="W29"/>
  <c r="Q29"/>
  <c r="V28"/>
  <c r="AB28"/>
  <c r="J109" i="5"/>
  <c r="AQ119" s="1"/>
  <c r="J112"/>
  <c r="AF119" s="1"/>
  <c r="J264"/>
  <c r="AB273" s="1"/>
  <c r="L663"/>
  <c r="J196"/>
  <c r="AF203" s="1"/>
  <c r="R85" i="1"/>
  <c r="HI85" s="1"/>
  <c r="L195" i="5" s="1"/>
  <c r="Z203" s="1"/>
  <c r="P84" i="1"/>
  <c r="AB31"/>
  <c r="R28"/>
  <c r="J55" i="5"/>
  <c r="AQ64" s="1"/>
  <c r="E204"/>
  <c r="J209"/>
  <c r="X217" s="1"/>
  <c r="E232"/>
  <c r="J237"/>
  <c r="X245" s="1"/>
  <c r="E260"/>
  <c r="CQ91" i="1"/>
  <c r="P91" s="1"/>
  <c r="AB87"/>
  <c r="CQ85"/>
  <c r="P85" s="1"/>
  <c r="AD33"/>
  <c r="CR33" s="1"/>
  <c r="Q33" s="1"/>
  <c r="CP33" s="1"/>
  <c r="O33" s="1"/>
  <c r="GM33" s="1"/>
  <c r="AB32"/>
  <c r="R29"/>
  <c r="HI29" s="1"/>
  <c r="P28"/>
  <c r="G52" i="5"/>
  <c r="E75"/>
  <c r="AB142" i="1"/>
  <c r="GX90"/>
  <c r="U90"/>
  <c r="G267" i="5" s="1"/>
  <c r="GX84" i="1"/>
  <c r="AB34"/>
  <c r="AB33"/>
  <c r="CT31"/>
  <c r="S31" s="1"/>
  <c r="G42" i="5"/>
  <c r="E65"/>
  <c r="J134"/>
  <c r="R141" s="1"/>
  <c r="J182"/>
  <c r="AY189" s="1"/>
  <c r="J278"/>
  <c r="AF284" s="1"/>
  <c r="J301"/>
  <c r="BA308" s="1"/>
  <c r="L667"/>
  <c r="AB96" i="1"/>
  <c r="GX91"/>
  <c r="AB88"/>
  <c r="V85"/>
  <c r="G198" i="5" s="1"/>
  <c r="U84" i="1"/>
  <c r="G183" i="5" s="1"/>
  <c r="R83" i="1"/>
  <c r="CS38"/>
  <c r="R38" s="1"/>
  <c r="HI38" s="1"/>
  <c r="GX37"/>
  <c r="T37"/>
  <c r="GX28"/>
  <c r="CJ40" s="1"/>
  <c r="E86" i="5"/>
  <c r="J123"/>
  <c r="Q130" s="1"/>
  <c r="J127" s="1"/>
  <c r="G131"/>
  <c r="E165"/>
  <c r="E177"/>
  <c r="U91" i="1"/>
  <c r="G279" i="5" s="1"/>
  <c r="AD89" i="1"/>
  <c r="GX85"/>
  <c r="U85"/>
  <c r="G197" i="5" s="1"/>
  <c r="AD83" i="1"/>
  <c r="AB83" s="1"/>
  <c r="W38"/>
  <c r="S37"/>
  <c r="CQ31"/>
  <c r="P31" s="1"/>
  <c r="GX29"/>
  <c r="U28"/>
  <c r="G36" i="5" s="1"/>
  <c r="G120"/>
  <c r="J235"/>
  <c r="R245" s="1"/>
  <c r="J238"/>
  <c r="AY245" s="1"/>
  <c r="J266"/>
  <c r="AY273" s="1"/>
  <c r="CQ87" i="1"/>
  <c r="P87" s="1"/>
  <c r="V86"/>
  <c r="G212" i="5" s="1"/>
  <c r="U29" i="1"/>
  <c r="G46" i="5" s="1"/>
  <c r="J111"/>
  <c r="X119" s="1"/>
  <c r="J324"/>
  <c r="BA332" s="1"/>
  <c r="P37" i="1"/>
  <c r="G75" i="5"/>
  <c r="H339"/>
  <c r="D22"/>
  <c r="H126"/>
  <c r="H376"/>
  <c r="H213"/>
  <c r="H241"/>
  <c r="H269"/>
  <c r="H444"/>
  <c r="H520"/>
  <c r="H317"/>
  <c r="H431"/>
  <c r="R41"/>
  <c r="J596"/>
  <c r="AC106"/>
  <c r="J635"/>
  <c r="J48"/>
  <c r="R51"/>
  <c r="I570"/>
  <c r="AF570" s="1"/>
  <c r="J592"/>
  <c r="J47"/>
  <c r="H60"/>
  <c r="J82"/>
  <c r="AQ130"/>
  <c r="H172"/>
  <c r="H185"/>
  <c r="AY284"/>
  <c r="R308"/>
  <c r="L603"/>
  <c r="J593"/>
  <c r="J91"/>
  <c r="J37"/>
  <c r="R95"/>
  <c r="H137"/>
  <c r="H293"/>
  <c r="J391"/>
  <c r="AQ51"/>
  <c r="AR106"/>
  <c r="AB119"/>
  <c r="J126"/>
  <c r="R130"/>
  <c r="AY308"/>
  <c r="AQ394"/>
  <c r="AO394"/>
  <c r="J38"/>
  <c r="AQ41"/>
  <c r="Q64"/>
  <c r="J61" s="1"/>
  <c r="I106"/>
  <c r="O106" s="1"/>
  <c r="AQ141"/>
  <c r="J304"/>
  <c r="AZ321"/>
  <c r="AB343"/>
  <c r="AY343"/>
  <c r="AQ380"/>
  <c r="I398"/>
  <c r="AY398" s="1"/>
  <c r="AY297"/>
  <c r="H115"/>
  <c r="J137"/>
  <c r="H199"/>
  <c r="H227"/>
  <c r="H255"/>
  <c r="H280"/>
  <c r="H304"/>
  <c r="H327"/>
  <c r="AF328"/>
  <c r="H390"/>
  <c r="H471"/>
  <c r="H535"/>
  <c r="L82"/>
  <c r="L487"/>
  <c r="L503"/>
  <c r="C22"/>
  <c r="Q621"/>
  <c r="Q630"/>
  <c r="J627" s="1"/>
  <c r="J617"/>
  <c r="S621"/>
  <c r="J626"/>
  <c r="S630"/>
  <c r="O570"/>
  <c r="AY570"/>
  <c r="P570"/>
  <c r="I573"/>
  <c r="P576"/>
  <c r="I579"/>
  <c r="I585"/>
  <c r="P588"/>
  <c r="I588"/>
  <c r="BQ570"/>
  <c r="I582"/>
  <c r="BS510"/>
  <c r="P510"/>
  <c r="BS544"/>
  <c r="P544"/>
  <c r="J487"/>
  <c r="BS494"/>
  <c r="P494"/>
  <c r="R435"/>
  <c r="Q448"/>
  <c r="J445" s="1"/>
  <c r="AF477"/>
  <c r="J502"/>
  <c r="Q525"/>
  <c r="J522" s="1"/>
  <c r="AO525"/>
  <c r="J535"/>
  <c r="Q540"/>
  <c r="J537" s="1"/>
  <c r="AO540"/>
  <c r="R448"/>
  <c r="I456"/>
  <c r="O456" s="1"/>
  <c r="AC456"/>
  <c r="AO473"/>
  <c r="AQ477"/>
  <c r="AN486"/>
  <c r="AF486"/>
  <c r="I494"/>
  <c r="AP506"/>
  <c r="AF506"/>
  <c r="AN521"/>
  <c r="AF521"/>
  <c r="R525"/>
  <c r="AN536"/>
  <c r="AF536"/>
  <c r="R540"/>
  <c r="I544"/>
  <c r="AQ435"/>
  <c r="J455"/>
  <c r="Q477"/>
  <c r="J474" s="1"/>
  <c r="AB506"/>
  <c r="AP540"/>
  <c r="AN473"/>
  <c r="Q380"/>
  <c r="AO380"/>
  <c r="J390"/>
  <c r="R394"/>
  <c r="AF398"/>
  <c r="AP394"/>
  <c r="O398"/>
  <c r="AB394"/>
  <c r="BA176"/>
  <c r="AF176"/>
  <c r="BA189"/>
  <c r="AF189"/>
  <c r="Q217"/>
  <c r="J214" s="1"/>
  <c r="R231"/>
  <c r="AY259"/>
  <c r="I273"/>
  <c r="O273" s="1"/>
  <c r="Q273"/>
  <c r="J270" s="1"/>
  <c r="BA284"/>
  <c r="BA297"/>
  <c r="Q308"/>
  <c r="J305" s="1"/>
  <c r="Q321"/>
  <c r="J318" s="1"/>
  <c r="J327"/>
  <c r="AX328"/>
  <c r="Q332"/>
  <c r="J329" s="1"/>
  <c r="Q343"/>
  <c r="J340" s="1"/>
  <c r="AB189"/>
  <c r="Q203"/>
  <c r="J200" s="1"/>
  <c r="J213"/>
  <c r="R217"/>
  <c r="AZ217"/>
  <c r="BA231"/>
  <c r="AF231"/>
  <c r="AB245"/>
  <c r="Q259"/>
  <c r="J256" s="1"/>
  <c r="J269"/>
  <c r="R273"/>
  <c r="AZ273"/>
  <c r="J317"/>
  <c r="R321"/>
  <c r="R332"/>
  <c r="J339"/>
  <c r="R343"/>
  <c r="Q176"/>
  <c r="Q189"/>
  <c r="J186" s="1"/>
  <c r="R203"/>
  <c r="AF217"/>
  <c r="R259"/>
  <c r="AF273"/>
  <c r="Q284"/>
  <c r="J281" s="1"/>
  <c r="Q297"/>
  <c r="AF321"/>
  <c r="AF332"/>
  <c r="J185"/>
  <c r="J280"/>
  <c r="R64"/>
  <c r="J70"/>
  <c r="R74"/>
  <c r="Q95"/>
  <c r="J92" s="1"/>
  <c r="I101"/>
  <c r="O101" s="1"/>
  <c r="AC101"/>
  <c r="Q119"/>
  <c r="J116" s="1"/>
  <c r="AO119"/>
  <c r="AN130"/>
  <c r="AF130"/>
  <c r="Q141"/>
  <c r="J138" s="1"/>
  <c r="AO141"/>
  <c r="J100"/>
  <c r="J115"/>
  <c r="R119"/>
  <c r="AQ74"/>
  <c r="BZ304" i="1"/>
  <c r="AQ309"/>
  <c r="CC304"/>
  <c r="AT309"/>
  <c r="CP306"/>
  <c r="O306" s="1"/>
  <c r="AC309"/>
  <c r="BD253"/>
  <c r="F288"/>
  <c r="J595" i="5" s="1"/>
  <c r="CP255" i="1"/>
  <c r="O255" s="1"/>
  <c r="CY210"/>
  <c r="X210" s="1"/>
  <c r="AG541" i="5" s="1"/>
  <c r="CZ210" i="1"/>
  <c r="Y210" s="1"/>
  <c r="AI541" i="5" s="1"/>
  <c r="HJ210" i="1"/>
  <c r="AS304"/>
  <c r="F326"/>
  <c r="BY304"/>
  <c r="CI309"/>
  <c r="AP309"/>
  <c r="HI306"/>
  <c r="AU253"/>
  <c r="F282"/>
  <c r="J600" i="5" s="1"/>
  <c r="CZ256" i="1"/>
  <c r="Y256" s="1"/>
  <c r="AI571" i="5" s="1"/>
  <c r="CY256" i="1"/>
  <c r="X256" s="1"/>
  <c r="AG571" i="5" s="1"/>
  <c r="HJ256" i="1"/>
  <c r="CY255"/>
  <c r="X255" s="1"/>
  <c r="AG568" i="5" s="1"/>
  <c r="AF263" i="1"/>
  <c r="CZ255"/>
  <c r="Y255" s="1"/>
  <c r="AI568" i="5" s="1"/>
  <c r="HJ255" i="1"/>
  <c r="BZ187"/>
  <c r="CG212"/>
  <c r="AQ212"/>
  <c r="CZ205"/>
  <c r="Y205" s="1"/>
  <c r="AI507" i="5" s="1"/>
  <c r="HJ205" i="1"/>
  <c r="CY205"/>
  <c r="X205" s="1"/>
  <c r="AG507" i="5" s="1"/>
  <c r="CZ200" i="1"/>
  <c r="Y200" s="1"/>
  <c r="AI473" i="5" s="1"/>
  <c r="CY200" i="1"/>
  <c r="X200" s="1"/>
  <c r="AG473" i="5" s="1"/>
  <c r="HJ200" i="1"/>
  <c r="HJ197"/>
  <c r="HJ195"/>
  <c r="AJ309"/>
  <c r="AH309"/>
  <c r="AH263"/>
  <c r="AB200"/>
  <c r="V199"/>
  <c r="P199"/>
  <c r="CP196"/>
  <c r="O196" s="1"/>
  <c r="AB195"/>
  <c r="CZ307"/>
  <c r="Y307" s="1"/>
  <c r="AI622" i="5" s="1"/>
  <c r="J629" s="1"/>
  <c r="HJ307" i="1"/>
  <c r="F334"/>
  <c r="J637" i="5" s="1"/>
  <c r="BD304" i="1"/>
  <c r="AO304"/>
  <c r="F313"/>
  <c r="AQ253"/>
  <c r="F273"/>
  <c r="AB307"/>
  <c r="CR307"/>
  <c r="Q307" s="1"/>
  <c r="CP307" s="1"/>
  <c r="O307" s="1"/>
  <c r="CY306"/>
  <c r="X306" s="1"/>
  <c r="HJ306"/>
  <c r="CZ306"/>
  <c r="Y306" s="1"/>
  <c r="AI613" i="5" s="1"/>
  <c r="J620" s="1"/>
  <c r="AF309" i="1"/>
  <c r="F276"/>
  <c r="BB253"/>
  <c r="AB261"/>
  <c r="CR261"/>
  <c r="Q261" s="1"/>
  <c r="CP261" s="1"/>
  <c r="O261" s="1"/>
  <c r="AB260"/>
  <c r="CR260"/>
  <c r="Q260" s="1"/>
  <c r="CP260" s="1"/>
  <c r="O260" s="1"/>
  <c r="AB259"/>
  <c r="CR259"/>
  <c r="Q259" s="1"/>
  <c r="CP259" s="1"/>
  <c r="O259" s="1"/>
  <c r="AB258"/>
  <c r="CR258"/>
  <c r="Q258" s="1"/>
  <c r="CP258" s="1"/>
  <c r="O258" s="1"/>
  <c r="CI263"/>
  <c r="AP263"/>
  <c r="BY253"/>
  <c r="HI255"/>
  <c r="AE263"/>
  <c r="HJ207"/>
  <c r="HJ196"/>
  <c r="HL193"/>
  <c r="HK193"/>
  <c r="CJ309"/>
  <c r="CP256"/>
  <c r="O256" s="1"/>
  <c r="AG263"/>
  <c r="AI263"/>
  <c r="CP210"/>
  <c r="O210" s="1"/>
  <c r="CP203"/>
  <c r="O203" s="1"/>
  <c r="W199"/>
  <c r="R199"/>
  <c r="HI199" s="1"/>
  <c r="U199"/>
  <c r="AG212"/>
  <c r="CP197"/>
  <c r="O197" s="1"/>
  <c r="AB196"/>
  <c r="AG304"/>
  <c r="T309"/>
  <c r="BC253"/>
  <c r="F279"/>
  <c r="CZ261"/>
  <c r="Y261" s="1"/>
  <c r="AI586" i="5" s="1"/>
  <c r="HJ261" i="1"/>
  <c r="CY261"/>
  <c r="X261" s="1"/>
  <c r="AG586" i="5" s="1"/>
  <c r="CZ260" i="1"/>
  <c r="Y260" s="1"/>
  <c r="AI583" i="5" s="1"/>
  <c r="CY260" i="1"/>
  <c r="X260" s="1"/>
  <c r="AG583" i="5" s="1"/>
  <c r="HJ260" i="1"/>
  <c r="CZ259"/>
  <c r="Y259" s="1"/>
  <c r="AI580" i="5" s="1"/>
  <c r="CY259" i="1"/>
  <c r="X259" s="1"/>
  <c r="AG580" i="5" s="1"/>
  <c r="HJ259" i="1"/>
  <c r="CZ258"/>
  <c r="Y258" s="1"/>
  <c r="AI577" i="5" s="1"/>
  <c r="CY258" i="1"/>
  <c r="X258" s="1"/>
  <c r="AG577" i="5" s="1"/>
  <c r="HJ258" i="1"/>
  <c r="CZ257"/>
  <c r="Y257" s="1"/>
  <c r="AI574" i="5" s="1"/>
  <c r="HJ257" i="1"/>
  <c r="CY257"/>
  <c r="X257" s="1"/>
  <c r="AG574" i="5" s="1"/>
  <c r="AB209" i="1"/>
  <c r="CR209"/>
  <c r="Q209" s="1"/>
  <c r="CP209" s="1"/>
  <c r="O209" s="1"/>
  <c r="CZ208"/>
  <c r="Y208" s="1"/>
  <c r="AI526" i="5" s="1"/>
  <c r="J539" s="1"/>
  <c r="CY208" i="1"/>
  <c r="X208" s="1"/>
  <c r="AG526" i="5" s="1"/>
  <c r="J538" s="1"/>
  <c r="HJ208" i="1"/>
  <c r="L529" i="5" s="1"/>
  <c r="U540" s="1"/>
  <c r="L537" s="1"/>
  <c r="CY206" i="1"/>
  <c r="X206" s="1"/>
  <c r="AG511" i="5" s="1"/>
  <c r="HJ206" i="1"/>
  <c r="L514" i="5" s="1"/>
  <c r="U525" s="1"/>
  <c r="L522" s="1"/>
  <c r="CZ206" i="1"/>
  <c r="Y206" s="1"/>
  <c r="AI511" i="5" s="1"/>
  <c r="AB204" i="1"/>
  <c r="CR204"/>
  <c r="Q204" s="1"/>
  <c r="AB202"/>
  <c r="CR202"/>
  <c r="Q202" s="1"/>
  <c r="CP202" s="1"/>
  <c r="O202" s="1"/>
  <c r="CZ201"/>
  <c r="Y201" s="1"/>
  <c r="AI478" i="5" s="1"/>
  <c r="CY201" i="1"/>
  <c r="X201" s="1"/>
  <c r="AG478" i="5" s="1"/>
  <c r="J488" s="1"/>
  <c r="HJ201" i="1"/>
  <c r="CZ194"/>
  <c r="Y194" s="1"/>
  <c r="CY194"/>
  <c r="X194" s="1"/>
  <c r="CP194"/>
  <c r="O194" s="1"/>
  <c r="HJ194"/>
  <c r="AJ263"/>
  <c r="AI304"/>
  <c r="V309"/>
  <c r="CZ209"/>
  <c r="Y209" s="1"/>
  <c r="AI536" i="5" s="1"/>
  <c r="CY209" i="1"/>
  <c r="X209" s="1"/>
  <c r="AG536" i="5" s="1"/>
  <c r="HJ209" i="1"/>
  <c r="CY203"/>
  <c r="X203" s="1"/>
  <c r="AG491" i="5" s="1"/>
  <c r="CZ203" i="1"/>
  <c r="Y203" s="1"/>
  <c r="AI491" i="5" s="1"/>
  <c r="HJ203" i="1"/>
  <c r="CY202"/>
  <c r="X202" s="1"/>
  <c r="AG486" i="5" s="1"/>
  <c r="HJ202" i="1"/>
  <c r="HJ198"/>
  <c r="L465" i="5" s="1"/>
  <c r="U477" s="1"/>
  <c r="CJ263" i="1"/>
  <c r="CJ212"/>
  <c r="AJ212"/>
  <c r="CX205" i="3"/>
  <c r="CX209"/>
  <c r="CX206"/>
  <c r="CX210"/>
  <c r="CX203"/>
  <c r="CX207"/>
  <c r="CX211"/>
  <c r="CX204"/>
  <c r="CX208"/>
  <c r="CI146" i="1"/>
  <c r="BY140"/>
  <c r="AP146"/>
  <c r="CD140"/>
  <c r="AU146"/>
  <c r="CY142"/>
  <c r="X142" s="1"/>
  <c r="AG367" i="5" s="1"/>
  <c r="J378" s="1"/>
  <c r="HJ142" i="1"/>
  <c r="L370" i="5" s="1"/>
  <c r="U380" s="1"/>
  <c r="L377" s="1"/>
  <c r="CZ142" i="1"/>
  <c r="Y142" s="1"/>
  <c r="AI367" i="5" s="1"/>
  <c r="J379" s="1"/>
  <c r="AF146" i="1"/>
  <c r="BB81"/>
  <c r="F112"/>
  <c r="AB95"/>
  <c r="CR95"/>
  <c r="Q95" s="1"/>
  <c r="AB93"/>
  <c r="CR93"/>
  <c r="Q93" s="1"/>
  <c r="CY90"/>
  <c r="X90" s="1"/>
  <c r="AG260" i="5" s="1"/>
  <c r="J271" s="1"/>
  <c r="AX273" s="1"/>
  <c r="HJ90" i="1"/>
  <c r="L263" i="5" s="1"/>
  <c r="U273" s="1"/>
  <c r="L270" s="1"/>
  <c r="CZ90" i="1"/>
  <c r="Y90" s="1"/>
  <c r="AI260" i="5" s="1"/>
  <c r="J272" s="1"/>
  <c r="CY88" i="1"/>
  <c r="X88" s="1"/>
  <c r="AG232" i="5" s="1"/>
  <c r="J243" s="1"/>
  <c r="HJ88" i="1"/>
  <c r="L235" i="5" s="1"/>
  <c r="U245" s="1"/>
  <c r="L242" s="1"/>
  <c r="CZ88" i="1"/>
  <c r="Y88" s="1"/>
  <c r="AI232" i="5" s="1"/>
  <c r="J244" s="1"/>
  <c r="AX245" s="1"/>
  <c r="CY86" i="1"/>
  <c r="X86" s="1"/>
  <c r="AG204" i="5" s="1"/>
  <c r="J215" s="1"/>
  <c r="AX217" s="1"/>
  <c r="HJ86" i="1"/>
  <c r="L207" i="5" s="1"/>
  <c r="U217" s="1"/>
  <c r="L214" s="1"/>
  <c r="CZ86" i="1"/>
  <c r="Y86" s="1"/>
  <c r="AI204" i="5" s="1"/>
  <c r="J216" s="1"/>
  <c r="CG309" i="1"/>
  <c r="BB309"/>
  <c r="CM304"/>
  <c r="AO263"/>
  <c r="CQ257"/>
  <c r="P257" s="1"/>
  <c r="CK253"/>
  <c r="BC212"/>
  <c r="AU212"/>
  <c r="CQ208"/>
  <c r="P208" s="1"/>
  <c r="CP208" s="1"/>
  <c r="O208" s="1"/>
  <c r="CQ207"/>
  <c r="P207" s="1"/>
  <c r="CP207" s="1"/>
  <c r="O207" s="1"/>
  <c r="CQ201"/>
  <c r="P201" s="1"/>
  <c r="CQ200"/>
  <c r="P200" s="1"/>
  <c r="CP200" s="1"/>
  <c r="O200" s="1"/>
  <c r="CS198"/>
  <c r="R198" s="1"/>
  <c r="CS197"/>
  <c r="R197" s="1"/>
  <c r="HI197" s="1"/>
  <c r="CS196"/>
  <c r="R196" s="1"/>
  <c r="HI196" s="1"/>
  <c r="CS195"/>
  <c r="R195" s="1"/>
  <c r="HI195" s="1"/>
  <c r="CP143"/>
  <c r="O143" s="1"/>
  <c r="AH146"/>
  <c r="CP91"/>
  <c r="O91" s="1"/>
  <c r="CJ99"/>
  <c r="CX213" i="3"/>
  <c r="CX217"/>
  <c r="CX221"/>
  <c r="CX225"/>
  <c r="CX229"/>
  <c r="CX233"/>
  <c r="CX214"/>
  <c r="CX218"/>
  <c r="CX222"/>
  <c r="CX226"/>
  <c r="CX230"/>
  <c r="CX234"/>
  <c r="CX215"/>
  <c r="CX219"/>
  <c r="CX223"/>
  <c r="CX227"/>
  <c r="CX231"/>
  <c r="CX235"/>
  <c r="CX212"/>
  <c r="CX216"/>
  <c r="CX220"/>
  <c r="CX224"/>
  <c r="CX228"/>
  <c r="CX232"/>
  <c r="CX201"/>
  <c r="CX202"/>
  <c r="CX200"/>
  <c r="CX197"/>
  <c r="CX198"/>
  <c r="CX195"/>
  <c r="CX199"/>
  <c r="CX196"/>
  <c r="AB144" i="1"/>
  <c r="CR144"/>
  <c r="Q144" s="1"/>
  <c r="HI142"/>
  <c r="L372" i="5" s="1"/>
  <c r="Z380" s="1"/>
  <c r="AP81" i="1"/>
  <c r="F108"/>
  <c r="J354" i="5" s="1"/>
  <c r="CZ97" i="1"/>
  <c r="Y97" s="1"/>
  <c r="AI333" i="5" s="1"/>
  <c r="J342" s="1"/>
  <c r="CY97" i="1"/>
  <c r="X97" s="1"/>
  <c r="AG333" i="5" s="1"/>
  <c r="J341" s="1"/>
  <c r="I343" s="1"/>
  <c r="O343" s="1"/>
  <c r="HJ97" i="1"/>
  <c r="L335" i="5" s="1"/>
  <c r="U343" s="1"/>
  <c r="L340" s="1"/>
  <c r="CZ95" i="1"/>
  <c r="Y95" s="1"/>
  <c r="AI322" i="5" s="1"/>
  <c r="CY95" i="1"/>
  <c r="X95" s="1"/>
  <c r="AG322" i="5" s="1"/>
  <c r="HJ95" i="1"/>
  <c r="L324" i="5" s="1"/>
  <c r="U332" s="1"/>
  <c r="L329" s="1"/>
  <c r="CY94" i="1"/>
  <c r="X94" s="1"/>
  <c r="AG309" i="5" s="1"/>
  <c r="J319" s="1"/>
  <c r="AX321" s="1"/>
  <c r="HJ94" i="1"/>
  <c r="L311" i="5" s="1"/>
  <c r="U321" s="1"/>
  <c r="L318" s="1"/>
  <c r="CZ94" i="1"/>
  <c r="Y94" s="1"/>
  <c r="AI309" i="5" s="1"/>
  <c r="J320" s="1"/>
  <c r="CZ93" i="1"/>
  <c r="Y93" s="1"/>
  <c r="AI298" i="5" s="1"/>
  <c r="J307" s="1"/>
  <c r="CY93" i="1"/>
  <c r="X93" s="1"/>
  <c r="AG298" i="5" s="1"/>
  <c r="J306" s="1"/>
  <c r="I308" s="1"/>
  <c r="O308" s="1"/>
  <c r="HJ93" i="1"/>
  <c r="L301" i="5" s="1"/>
  <c r="U308" s="1"/>
  <c r="L305" s="1"/>
  <c r="CY83" i="1"/>
  <c r="X83" s="1"/>
  <c r="AG165" i="5" s="1"/>
  <c r="J174" s="1"/>
  <c r="HJ83" i="1"/>
  <c r="L168" i="5" s="1"/>
  <c r="U176" s="1"/>
  <c r="L173" s="1"/>
  <c r="AF99" i="1"/>
  <c r="CZ83"/>
  <c r="Y83" s="1"/>
  <c r="AI165" i="5" s="1"/>
  <c r="J175" s="1"/>
  <c r="BC309" i="1"/>
  <c r="CB304"/>
  <c r="BX304"/>
  <c r="CG263"/>
  <c r="CL253"/>
  <c r="CD253"/>
  <c r="BZ253"/>
  <c r="CI212"/>
  <c r="AB194"/>
  <c r="AG146"/>
  <c r="AI146"/>
  <c r="AB97"/>
  <c r="CP96"/>
  <c r="O96" s="1"/>
  <c r="CP84"/>
  <c r="O84" s="1"/>
  <c r="AH99"/>
  <c r="CZ191"/>
  <c r="Y191" s="1"/>
  <c r="AI449" i="5" s="1"/>
  <c r="HJ191" i="1"/>
  <c r="CY191"/>
  <c r="X191" s="1"/>
  <c r="AG449" i="5" s="1"/>
  <c r="CZ190" i="1"/>
  <c r="Y190" s="1"/>
  <c r="AI436" i="5" s="1"/>
  <c r="J447" s="1"/>
  <c r="CY190" i="1"/>
  <c r="X190" s="1"/>
  <c r="AG436" i="5" s="1"/>
  <c r="J446" s="1"/>
  <c r="HJ190" i="1"/>
  <c r="L439" i="5" s="1"/>
  <c r="U448" s="1"/>
  <c r="L445" s="1"/>
  <c r="CZ189" i="1"/>
  <c r="Y189" s="1"/>
  <c r="AI423" i="5" s="1"/>
  <c r="J434" s="1"/>
  <c r="CY189" i="1"/>
  <c r="X189" s="1"/>
  <c r="AG423" i="5" s="1"/>
  <c r="J433" s="1"/>
  <c r="HJ189" i="1"/>
  <c r="L426" i="5" s="1"/>
  <c r="U435" s="1"/>
  <c r="L432" s="1"/>
  <c r="CY144" i="1"/>
  <c r="X144" s="1"/>
  <c r="AG395" i="5" s="1"/>
  <c r="HJ144" i="1"/>
  <c r="BZ140"/>
  <c r="AQ146"/>
  <c r="CY143"/>
  <c r="X143" s="1"/>
  <c r="AG381" i="5" s="1"/>
  <c r="J392" s="1"/>
  <c r="I394" s="1"/>
  <c r="O394" s="1"/>
  <c r="HJ143" i="1"/>
  <c r="L384" i="5" s="1"/>
  <c r="U394" s="1"/>
  <c r="L391" s="1"/>
  <c r="CZ143" i="1"/>
  <c r="Y143" s="1"/>
  <c r="AI381" i="5" s="1"/>
  <c r="J393" s="1"/>
  <c r="CG99" i="1"/>
  <c r="BZ81"/>
  <c r="AQ99"/>
  <c r="HJ96"/>
  <c r="AB92"/>
  <c r="CR92"/>
  <c r="Q92" s="1"/>
  <c r="CP92" s="1"/>
  <c r="O92" s="1"/>
  <c r="CY91"/>
  <c r="X91" s="1"/>
  <c r="AG274" i="5" s="1"/>
  <c r="J282" s="1"/>
  <c r="AX284" s="1"/>
  <c r="HJ91" i="1"/>
  <c r="L277" i="5" s="1"/>
  <c r="U284" s="1"/>
  <c r="L281" s="1"/>
  <c r="CZ91" i="1"/>
  <c r="Y91" s="1"/>
  <c r="AI274" i="5" s="1"/>
  <c r="J283" s="1"/>
  <c r="GM90" i="1"/>
  <c r="GO90"/>
  <c r="CY89"/>
  <c r="X89" s="1"/>
  <c r="AG246" i="5" s="1"/>
  <c r="J257" s="1"/>
  <c r="HJ89" i="1"/>
  <c r="L249" i="5" s="1"/>
  <c r="U259" s="1"/>
  <c r="L256" s="1"/>
  <c r="CZ89" i="1"/>
  <c r="Y89" s="1"/>
  <c r="AI246" i="5" s="1"/>
  <c r="J258" s="1"/>
  <c r="CY87" i="1"/>
  <c r="X87" s="1"/>
  <c r="AG218" i="5" s="1"/>
  <c r="J229" s="1"/>
  <c r="HJ87" i="1"/>
  <c r="L221" i="5" s="1"/>
  <c r="U231" s="1"/>
  <c r="L228" s="1"/>
  <c r="CZ87" i="1"/>
  <c r="Y87" s="1"/>
  <c r="AI218" i="5" s="1"/>
  <c r="J230" s="1"/>
  <c r="HJ85" i="1"/>
  <c r="L193" i="5" s="1"/>
  <c r="U203" s="1"/>
  <c r="HI83" i="1"/>
  <c r="AB256"/>
  <c r="CM253"/>
  <c r="AO212"/>
  <c r="AJ146"/>
  <c r="CP95"/>
  <c r="O95" s="1"/>
  <c r="CP93"/>
  <c r="O93" s="1"/>
  <c r="AG99"/>
  <c r="CX185" i="3"/>
  <c r="CX189"/>
  <c r="CX193"/>
  <c r="CX186"/>
  <c r="CX190"/>
  <c r="CX194"/>
  <c r="CX183"/>
  <c r="CX187"/>
  <c r="CX191"/>
  <c r="CX184"/>
  <c r="CX188"/>
  <c r="CX192"/>
  <c r="CX181"/>
  <c r="CX182"/>
  <c r="CX180"/>
  <c r="CX177"/>
  <c r="CX178"/>
  <c r="CX179"/>
  <c r="CX176"/>
  <c r="CX173"/>
  <c r="CX174"/>
  <c r="CX175"/>
  <c r="CZ192" i="1"/>
  <c r="Y192" s="1"/>
  <c r="AI457" i="5" s="1"/>
  <c r="HJ192" i="1"/>
  <c r="CY192"/>
  <c r="X192" s="1"/>
  <c r="AG457" i="5" s="1"/>
  <c r="AC146" i="1"/>
  <c r="CZ92"/>
  <c r="Y92" s="1"/>
  <c r="AI285" i="5" s="1"/>
  <c r="J296" s="1"/>
  <c r="CY92" i="1"/>
  <c r="X92" s="1"/>
  <c r="AG285" i="5" s="1"/>
  <c r="J295" s="1"/>
  <c r="HJ92" i="1"/>
  <c r="L287" i="5" s="1"/>
  <c r="U297" s="1"/>
  <c r="L294" s="1"/>
  <c r="CY84" i="1"/>
  <c r="X84" s="1"/>
  <c r="AG177" i="5" s="1"/>
  <c r="J187" s="1"/>
  <c r="I189" s="1"/>
  <c r="O189" s="1"/>
  <c r="HJ84" i="1"/>
  <c r="L180" i="5" s="1"/>
  <c r="U189" s="1"/>
  <c r="L186" s="1"/>
  <c r="CZ84" i="1"/>
  <c r="Y84" s="1"/>
  <c r="AI177" i="5" s="1"/>
  <c r="J188" s="1"/>
  <c r="BB212" i="1"/>
  <c r="AP212"/>
  <c r="CP191"/>
  <c r="O191" s="1"/>
  <c r="CP144"/>
  <c r="O144" s="1"/>
  <c r="AJ99"/>
  <c r="CX141" i="3"/>
  <c r="CX145"/>
  <c r="CX149"/>
  <c r="CX153"/>
  <c r="CX142"/>
  <c r="CX146"/>
  <c r="CX150"/>
  <c r="CX143"/>
  <c r="CX147"/>
  <c r="CX151"/>
  <c r="CX140"/>
  <c r="CX144"/>
  <c r="CX148"/>
  <c r="CX152"/>
  <c r="CX133"/>
  <c r="CX137"/>
  <c r="CX134"/>
  <c r="CX138"/>
  <c r="CX135"/>
  <c r="CX139"/>
  <c r="CX132"/>
  <c r="CX136"/>
  <c r="CX93"/>
  <c r="CX94"/>
  <c r="CX95"/>
  <c r="CX85"/>
  <c r="CX89"/>
  <c r="CX86"/>
  <c r="CX90"/>
  <c r="CX83"/>
  <c r="CX87"/>
  <c r="CX91"/>
  <c r="CX84"/>
  <c r="CX88"/>
  <c r="CX92"/>
  <c r="CX73"/>
  <c r="CX77"/>
  <c r="CX81"/>
  <c r="CX74"/>
  <c r="CX78"/>
  <c r="CX82"/>
  <c r="CX75"/>
  <c r="CX79"/>
  <c r="CX72"/>
  <c r="CX76"/>
  <c r="CX80"/>
  <c r="CX65"/>
  <c r="CX69"/>
  <c r="CX62"/>
  <c r="CX66"/>
  <c r="CX70"/>
  <c r="CX63"/>
  <c r="CX67"/>
  <c r="CX71"/>
  <c r="CX64"/>
  <c r="CX68"/>
  <c r="CX53"/>
  <c r="CX57"/>
  <c r="CX61"/>
  <c r="CX50"/>
  <c r="CX54"/>
  <c r="CX58"/>
  <c r="CX51"/>
  <c r="CX55"/>
  <c r="CX59"/>
  <c r="CX52"/>
  <c r="CX56"/>
  <c r="CX60"/>
  <c r="CX45"/>
  <c r="CX49"/>
  <c r="CX46"/>
  <c r="CX47"/>
  <c r="CX48"/>
  <c r="CX41"/>
  <c r="CX42"/>
  <c r="CX43"/>
  <c r="CX40"/>
  <c r="CX44"/>
  <c r="CX37"/>
  <c r="CX38"/>
  <c r="CX39"/>
  <c r="CX36"/>
  <c r="CX33"/>
  <c r="CX34"/>
  <c r="CX35"/>
  <c r="CX32"/>
  <c r="AB38" i="1"/>
  <c r="CR38"/>
  <c r="Q38" s="1"/>
  <c r="CP38" s="1"/>
  <c r="O38" s="1"/>
  <c r="AB37"/>
  <c r="CR37"/>
  <c r="Q37" s="1"/>
  <c r="AB36"/>
  <c r="CR36"/>
  <c r="Q36" s="1"/>
  <c r="CY30"/>
  <c r="X30" s="1"/>
  <c r="AG52" i="5" s="1"/>
  <c r="J62" s="1"/>
  <c r="HJ30" i="1"/>
  <c r="L55" i="5" s="1"/>
  <c r="U64" s="1"/>
  <c r="L61" s="1"/>
  <c r="CZ30" i="1"/>
  <c r="Y30" s="1"/>
  <c r="AI52" i="5" s="1"/>
  <c r="J63" s="1"/>
  <c r="CP28" i="1"/>
  <c r="O28" s="1"/>
  <c r="AC40"/>
  <c r="CQ189"/>
  <c r="P189" s="1"/>
  <c r="CG146"/>
  <c r="BB146"/>
  <c r="BC99"/>
  <c r="AU99"/>
  <c r="CQ97"/>
  <c r="P97" s="1"/>
  <c r="CP97" s="1"/>
  <c r="O97" s="1"/>
  <c r="CS96"/>
  <c r="R96" s="1"/>
  <c r="HI96" s="1"/>
  <c r="CK81"/>
  <c r="BY81"/>
  <c r="CP35"/>
  <c r="O35" s="1"/>
  <c r="AI40"/>
  <c r="CX165" i="3"/>
  <c r="CX166"/>
  <c r="CX167"/>
  <c r="CX161"/>
  <c r="CX162"/>
  <c r="CX159"/>
  <c r="CX163"/>
  <c r="CX160"/>
  <c r="CX164"/>
  <c r="CX157"/>
  <c r="CX154"/>
  <c r="CX158"/>
  <c r="CX155"/>
  <c r="CX156"/>
  <c r="CZ38" i="1"/>
  <c r="Y38" s="1"/>
  <c r="AI131" i="5" s="1"/>
  <c r="J140" s="1"/>
  <c r="CY38" i="1"/>
  <c r="X38" s="1"/>
  <c r="AG131" i="5" s="1"/>
  <c r="J139" s="1"/>
  <c r="AN141" s="1"/>
  <c r="HJ38" i="1"/>
  <c r="L134" i="5" s="1"/>
  <c r="U141" s="1"/>
  <c r="L138" s="1"/>
  <c r="CZ37" i="1"/>
  <c r="Y37" s="1"/>
  <c r="AI120" i="5" s="1"/>
  <c r="J129" s="1"/>
  <c r="CY37" i="1"/>
  <c r="X37" s="1"/>
  <c r="AG120" i="5" s="1"/>
  <c r="J128" s="1"/>
  <c r="I130" s="1"/>
  <c r="O130" s="1"/>
  <c r="HJ37" i="1"/>
  <c r="L123" i="5" s="1"/>
  <c r="U130" s="1"/>
  <c r="L127" s="1"/>
  <c r="CZ36" i="1"/>
  <c r="Y36" s="1"/>
  <c r="AI107" i="5" s="1"/>
  <c r="J118" s="1"/>
  <c r="CY36" i="1"/>
  <c r="X36" s="1"/>
  <c r="AG107" i="5" s="1"/>
  <c r="J117" s="1"/>
  <c r="AN119" s="1"/>
  <c r="HJ36" i="1"/>
  <c r="L109" i="5" s="1"/>
  <c r="U119" s="1"/>
  <c r="L116" s="1"/>
  <c r="CY33" i="1"/>
  <c r="X33" s="1"/>
  <c r="HJ33"/>
  <c r="L89" i="5" s="1"/>
  <c r="U95" s="1"/>
  <c r="L92" s="1"/>
  <c r="CZ33" i="1"/>
  <c r="Y33" s="1"/>
  <c r="AI86" i="5" s="1"/>
  <c r="J94" s="1"/>
  <c r="CY29" i="1"/>
  <c r="X29" s="1"/>
  <c r="HJ29"/>
  <c r="L45" i="5" s="1"/>
  <c r="U51" s="1"/>
  <c r="L48" s="1"/>
  <c r="CZ29" i="1"/>
  <c r="Y29" s="1"/>
  <c r="AI42" i="5" s="1"/>
  <c r="J50" s="1"/>
  <c r="AE40" i="1"/>
  <c r="HI28"/>
  <c r="AD192"/>
  <c r="J459" i="5" s="1"/>
  <c r="AR461" s="1"/>
  <c r="J659" s="1"/>
  <c r="L659" s="1"/>
  <c r="BC146" i="1"/>
  <c r="CI99"/>
  <c r="BD99"/>
  <c r="CP31"/>
  <c r="O31" s="1"/>
  <c r="AJ40"/>
  <c r="AH40"/>
  <c r="CX105" i="3"/>
  <c r="CX103"/>
  <c r="CX104"/>
  <c r="CY32" i="1"/>
  <c r="X32" s="1"/>
  <c r="AG75" i="5" s="1"/>
  <c r="J83" s="1"/>
  <c r="HJ32" i="1"/>
  <c r="CZ32"/>
  <c r="Y32" s="1"/>
  <c r="AI75" i="5" s="1"/>
  <c r="J84" s="1"/>
  <c r="CY28" i="1"/>
  <c r="X28" s="1"/>
  <c r="AG32" i="5" s="1"/>
  <c r="HJ28" i="1"/>
  <c r="L35" i="5" s="1"/>
  <c r="U41" s="1"/>
  <c r="CZ28" i="1"/>
  <c r="Y28" s="1"/>
  <c r="AI32" i="5" s="1"/>
  <c r="J40" s="1"/>
  <c r="AB191" i="1"/>
  <c r="AB190"/>
  <c r="BD146"/>
  <c r="AS99"/>
  <c r="AO99"/>
  <c r="CP30"/>
  <c r="O30" s="1"/>
  <c r="CX169" i="3"/>
  <c r="CX170"/>
  <c r="CX171"/>
  <c r="CX168"/>
  <c r="CX172"/>
  <c r="CZ35" i="1"/>
  <c r="Y35" s="1"/>
  <c r="AI102" i="5" s="1"/>
  <c r="HJ35" i="1"/>
  <c r="CY35"/>
  <c r="X35" s="1"/>
  <c r="AG102" i="5" s="1"/>
  <c r="CY31" i="1"/>
  <c r="X31" s="1"/>
  <c r="AG65" i="5" s="1"/>
  <c r="J72" s="1"/>
  <c r="AN74" s="1"/>
  <c r="HJ31" i="1"/>
  <c r="L68" i="5" s="1"/>
  <c r="U74" s="1"/>
  <c r="L71" s="1"/>
  <c r="CZ31" i="1"/>
  <c r="Y31" s="1"/>
  <c r="AI65" i="5" s="1"/>
  <c r="J73" s="1"/>
  <c r="AO146" i="1"/>
  <c r="CP37"/>
  <c r="O37" s="1"/>
  <c r="CP36"/>
  <c r="O36" s="1"/>
  <c r="AG40"/>
  <c r="CG40"/>
  <c r="BB40"/>
  <c r="AT40"/>
  <c r="AP40"/>
  <c r="CT34"/>
  <c r="S34" s="1"/>
  <c r="CX28" i="3"/>
  <c r="CX12"/>
  <c r="CX8"/>
  <c r="CX4"/>
  <c r="BC40" i="1"/>
  <c r="AU40"/>
  <c r="AQ40"/>
  <c r="CX31" i="3"/>
  <c r="CX27"/>
  <c r="CX11"/>
  <c r="CX7"/>
  <c r="AZ40" i="1"/>
  <c r="CX30" i="3"/>
  <c r="CX6"/>
  <c r="CX2"/>
  <c r="AO40" i="1"/>
  <c r="AN540" i="5" l="1"/>
  <c r="I540"/>
  <c r="O540" s="1"/>
  <c r="CJ26" i="1"/>
  <c r="BA40"/>
  <c r="CJ140"/>
  <c r="BA146"/>
  <c r="CP85"/>
  <c r="O85" s="1"/>
  <c r="GM85" s="1"/>
  <c r="GN33"/>
  <c r="AG86" i="5"/>
  <c r="J93" s="1"/>
  <c r="CY307" i="1"/>
  <c r="X307" s="1"/>
  <c r="AG622" i="5" s="1"/>
  <c r="J628" s="1"/>
  <c r="AB64"/>
  <c r="I141"/>
  <c r="O141" s="1"/>
  <c r="I245"/>
  <c r="O245" s="1"/>
  <c r="AX343"/>
  <c r="AC461"/>
  <c r="J39"/>
  <c r="CR89" i="1"/>
  <c r="Q89" s="1"/>
  <c r="CP89" s="1"/>
  <c r="O89" s="1"/>
  <c r="GM89" s="1"/>
  <c r="J250" i="5"/>
  <c r="CR189" i="1"/>
  <c r="Q189" s="1"/>
  <c r="J427" i="5"/>
  <c r="CR198" i="1"/>
  <c r="Q198" s="1"/>
  <c r="CP198" s="1"/>
  <c r="O198" s="1"/>
  <c r="J466" i="5"/>
  <c r="CP205" i="1"/>
  <c r="O205" s="1"/>
  <c r="J507" i="5"/>
  <c r="GO94" i="1"/>
  <c r="GO88"/>
  <c r="J60" i="5"/>
  <c r="I297"/>
  <c r="O297" s="1"/>
  <c r="I321"/>
  <c r="O321" s="1"/>
  <c r="AX308"/>
  <c r="CR85" i="1"/>
  <c r="Q85" s="1"/>
  <c r="J194" i="5"/>
  <c r="J472"/>
  <c r="AB189" i="1"/>
  <c r="GM88"/>
  <c r="CP257"/>
  <c r="O257" s="1"/>
  <c r="J574" i="5"/>
  <c r="AX189"/>
  <c r="I217"/>
  <c r="O217" s="1"/>
  <c r="L38"/>
  <c r="AB199" i="1"/>
  <c r="CP29"/>
  <c r="O29" s="1"/>
  <c r="AH212"/>
  <c r="I74" i="5"/>
  <c r="O74" s="1"/>
  <c r="I284"/>
  <c r="O284" s="1"/>
  <c r="AY203"/>
  <c r="AN394"/>
  <c r="CR201" i="1"/>
  <c r="Q201" s="1"/>
  <c r="J481" i="5"/>
  <c r="AG613"/>
  <c r="J619" s="1"/>
  <c r="HJ204" i="1"/>
  <c r="CY207"/>
  <c r="X207" s="1"/>
  <c r="AG521" i="5" s="1"/>
  <c r="J523" s="1"/>
  <c r="I119"/>
  <c r="O119" s="1"/>
  <c r="J460"/>
  <c r="CZ144" i="1"/>
  <c r="Y144" s="1"/>
  <c r="AI395" i="5" s="1"/>
  <c r="CZ85" i="1"/>
  <c r="Y85" s="1"/>
  <c r="AI190" i="5" s="1"/>
  <c r="J202" s="1"/>
  <c r="CY204" i="1"/>
  <c r="X204" s="1"/>
  <c r="AG495" i="5" s="1"/>
  <c r="J504" s="1"/>
  <c r="CP204" i="1"/>
  <c r="O204" s="1"/>
  <c r="CZ207"/>
  <c r="Y207" s="1"/>
  <c r="AI521" i="5" s="1"/>
  <c r="J524" s="1"/>
  <c r="AF245"/>
  <c r="J228"/>
  <c r="CP86" i="1"/>
  <c r="O86" s="1"/>
  <c r="CR206"/>
  <c r="Q206" s="1"/>
  <c r="CP206" s="1"/>
  <c r="O206" s="1"/>
  <c r="J515" i="5"/>
  <c r="CR32" i="1"/>
  <c r="Q32" s="1"/>
  <c r="J78" i="5"/>
  <c r="J241"/>
  <c r="L200"/>
  <c r="AP64"/>
  <c r="I64"/>
  <c r="O64" s="1"/>
  <c r="BA245"/>
  <c r="I461"/>
  <c r="O461" s="1"/>
  <c r="J432"/>
  <c r="AB205" i="1"/>
  <c r="CZ202"/>
  <c r="Y202" s="1"/>
  <c r="AI486" i="5" s="1"/>
  <c r="J489" s="1"/>
  <c r="AB198" i="1"/>
  <c r="AB193"/>
  <c r="CR193"/>
  <c r="Q193" s="1"/>
  <c r="CP193" s="1"/>
  <c r="O193" s="1"/>
  <c r="CY85"/>
  <c r="X85" s="1"/>
  <c r="AG190" i="5" s="1"/>
  <c r="J201" s="1"/>
  <c r="AX297"/>
  <c r="CR83" i="1"/>
  <c r="Q83" s="1"/>
  <c r="J169" i="5"/>
  <c r="L615"/>
  <c r="U621" s="1"/>
  <c r="L618" s="1"/>
  <c r="BX615"/>
  <c r="BY615" s="1"/>
  <c r="BU615"/>
  <c r="J294"/>
  <c r="AI99" i="1"/>
  <c r="CP201"/>
  <c r="O201" s="1"/>
  <c r="J293" i="5"/>
  <c r="CR142" i="1"/>
  <c r="Q142" s="1"/>
  <c r="CP142" s="1"/>
  <c r="O142" s="1"/>
  <c r="J371" i="5"/>
  <c r="CR190" i="1"/>
  <c r="Q190" s="1"/>
  <c r="CP190" s="1"/>
  <c r="O190" s="1"/>
  <c r="GN190" s="1"/>
  <c r="J440" i="5"/>
  <c r="GN29" i="1"/>
  <c r="AG42" i="5"/>
  <c r="J49" s="1"/>
  <c r="AE146" i="1"/>
  <c r="BX624" i="5"/>
  <c r="BY624" s="1"/>
  <c r="BU624"/>
  <c r="L624"/>
  <c r="U630" s="1"/>
  <c r="L627" s="1"/>
  <c r="AD309" i="1"/>
  <c r="AE309"/>
  <c r="Q245" i="5"/>
  <c r="J242" s="1"/>
  <c r="AO490"/>
  <c r="AB297"/>
  <c r="AB89" i="1"/>
  <c r="CR87"/>
  <c r="Q87" s="1"/>
  <c r="CP87" s="1"/>
  <c r="O87" s="1"/>
  <c r="J222" i="5"/>
  <c r="S199" i="1"/>
  <c r="L559" i="5"/>
  <c r="J377"/>
  <c r="J406"/>
  <c r="J402"/>
  <c r="J19"/>
  <c r="J149"/>
  <c r="J656"/>
  <c r="J660"/>
  <c r="J548"/>
  <c r="J552"/>
  <c r="J173"/>
  <c r="J351"/>
  <c r="J347"/>
  <c r="J618"/>
  <c r="J638"/>
  <c r="J634"/>
  <c r="J145"/>
  <c r="AY585"/>
  <c r="O585"/>
  <c r="AF585"/>
  <c r="AY582"/>
  <c r="O582"/>
  <c r="AF582"/>
  <c r="AF588"/>
  <c r="BQ588"/>
  <c r="AY588"/>
  <c r="O588"/>
  <c r="AY579"/>
  <c r="O579"/>
  <c r="AF579"/>
  <c r="O573"/>
  <c r="AF573"/>
  <c r="AO573"/>
  <c r="AF494"/>
  <c r="BQ494"/>
  <c r="AY494"/>
  <c r="O494"/>
  <c r="AF544"/>
  <c r="BQ544"/>
  <c r="AY544"/>
  <c r="O544"/>
  <c r="GO92" i="1"/>
  <c r="GM92"/>
  <c r="GN202"/>
  <c r="GM202"/>
  <c r="GO260"/>
  <c r="GM260"/>
  <c r="GN204"/>
  <c r="GM204"/>
  <c r="GN209"/>
  <c r="GM209"/>
  <c r="GO261"/>
  <c r="GM261"/>
  <c r="GM307"/>
  <c r="GP307"/>
  <c r="GO258"/>
  <c r="GM258"/>
  <c r="F150"/>
  <c r="AO140"/>
  <c r="AZ26"/>
  <c r="F51"/>
  <c r="CZ34"/>
  <c r="Y34" s="1"/>
  <c r="AI96" i="5" s="1"/>
  <c r="HJ34" i="1"/>
  <c r="CY34"/>
  <c r="X34" s="1"/>
  <c r="AG96" i="5" s="1"/>
  <c r="CG26" i="1"/>
  <c r="AX40"/>
  <c r="BD140"/>
  <c r="F171"/>
  <c r="J405" i="5" s="1"/>
  <c r="AB192" i="1"/>
  <c r="CR192"/>
  <c r="Q192" s="1"/>
  <c r="BC26"/>
  <c r="F56"/>
  <c r="BC348"/>
  <c r="F53"/>
  <c r="BB26"/>
  <c r="BB348"/>
  <c r="GN37"/>
  <c r="GM37"/>
  <c r="AS81"/>
  <c r="F116"/>
  <c r="AJ26"/>
  <c r="W40"/>
  <c r="BC140"/>
  <c r="F162"/>
  <c r="HL33"/>
  <c r="AJ86" i="5" s="1"/>
  <c r="HK33" i="1"/>
  <c r="AH86" i="5" s="1"/>
  <c r="HL38" i="1"/>
  <c r="AJ131" i="5" s="1"/>
  <c r="HK38" i="1"/>
  <c r="AH131" i="5" s="1"/>
  <c r="GN35" i="1"/>
  <c r="GM35"/>
  <c r="HD35" s="1"/>
  <c r="GO97"/>
  <c r="GM97"/>
  <c r="CG140"/>
  <c r="AX146"/>
  <c r="GO144"/>
  <c r="CC146" s="1"/>
  <c r="GM144"/>
  <c r="BB187"/>
  <c r="F225"/>
  <c r="HL84"/>
  <c r="AJ177" i="5" s="1"/>
  <c r="HK84" i="1"/>
  <c r="AH177" i="5" s="1"/>
  <c r="GM142" i="1"/>
  <c r="GN142"/>
  <c r="AB146"/>
  <c r="HK192"/>
  <c r="AH457" i="5" s="1"/>
  <c r="AS457" s="1"/>
  <c r="HL192" i="1"/>
  <c r="AJ457" i="5" s="1"/>
  <c r="AT457" s="1"/>
  <c r="V99" i="1"/>
  <c r="AI81"/>
  <c r="AJ140"/>
  <c r="W146"/>
  <c r="HL87"/>
  <c r="AJ218" i="5" s="1"/>
  <c r="HK87" i="1"/>
  <c r="AH218" i="5" s="1"/>
  <c r="HL189" i="1"/>
  <c r="AJ423" i="5" s="1"/>
  <c r="HK189" i="1"/>
  <c r="AH423" i="5" s="1"/>
  <c r="F325" i="1"/>
  <c r="BC304"/>
  <c r="AE140"/>
  <c r="R146"/>
  <c r="AE212"/>
  <c r="HI198"/>
  <c r="L467" i="5" s="1"/>
  <c r="Z477" s="1"/>
  <c r="L474" s="1"/>
  <c r="GN208" i="1"/>
  <c r="GM208"/>
  <c r="GO257"/>
  <c r="GM257"/>
  <c r="CG304"/>
  <c r="AX309"/>
  <c r="HL86"/>
  <c r="AJ204" i="5" s="1"/>
  <c r="HK86" i="1"/>
  <c r="AH204" i="5" s="1"/>
  <c r="HL142" i="1"/>
  <c r="AJ367" i="5" s="1"/>
  <c r="HK142" i="1"/>
  <c r="AH367" i="5" s="1"/>
  <c r="F155" i="1"/>
  <c r="J409" i="5" s="1"/>
  <c r="AP140" i="1"/>
  <c r="AJ187"/>
  <c r="W212"/>
  <c r="HL203"/>
  <c r="AJ491" i="5" s="1"/>
  <c r="BD491" s="1"/>
  <c r="HK203" i="1"/>
  <c r="AH491" i="5" s="1"/>
  <c r="BC491" s="1"/>
  <c r="HL209" i="1"/>
  <c r="AJ536" i="5" s="1"/>
  <c r="AT536" s="1"/>
  <c r="HK209" i="1"/>
  <c r="AH536" i="5" s="1"/>
  <c r="AS536" s="1"/>
  <c r="HK194" i="1"/>
  <c r="HL194"/>
  <c r="HL259"/>
  <c r="AJ580" i="5" s="1"/>
  <c r="BD580" s="1"/>
  <c r="HK259" i="1"/>
  <c r="AH580" i="5" s="1"/>
  <c r="BC580" s="1"/>
  <c r="AG187" i="1"/>
  <c r="T212"/>
  <c r="AI253"/>
  <c r="V263"/>
  <c r="AE253"/>
  <c r="R263"/>
  <c r="AZ263"/>
  <c r="CI253"/>
  <c r="AH253"/>
  <c r="U263"/>
  <c r="HK197"/>
  <c r="HL197"/>
  <c r="HL255"/>
  <c r="AJ568" i="5" s="1"/>
  <c r="BD568" s="1"/>
  <c r="HK255" i="1"/>
  <c r="AH568" i="5" s="1"/>
  <c r="BC568" s="1"/>
  <c r="HL256" i="1"/>
  <c r="AJ571" i="5" s="1"/>
  <c r="AT571" s="1"/>
  <c r="HK256" i="1"/>
  <c r="AH571" i="5" s="1"/>
  <c r="AS571" s="1"/>
  <c r="AZ309" i="1"/>
  <c r="CI304"/>
  <c r="HL210"/>
  <c r="AJ541" i="5" s="1"/>
  <c r="BD541" s="1"/>
  <c r="HK210" i="1"/>
  <c r="AH541" i="5" s="1"/>
  <c r="BC541" s="1"/>
  <c r="GM255" i="1"/>
  <c r="GO255"/>
  <c r="AB263"/>
  <c r="GM306"/>
  <c r="CA309" s="1"/>
  <c r="GP306"/>
  <c r="CD309" s="1"/>
  <c r="AB309"/>
  <c r="GM29"/>
  <c r="AF40"/>
  <c r="AE99"/>
  <c r="CZ96"/>
  <c r="Y96" s="1"/>
  <c r="AI328" i="5" s="1"/>
  <c r="J331" s="1"/>
  <c r="CZ198" i="1"/>
  <c r="Y198" s="1"/>
  <c r="AI462" i="5" s="1"/>
  <c r="CZ196" i="1"/>
  <c r="Y196" s="1"/>
  <c r="AL309"/>
  <c r="T40"/>
  <c r="AG26"/>
  <c r="GM30"/>
  <c r="GN30"/>
  <c r="F44"/>
  <c r="AO26"/>
  <c r="AO348"/>
  <c r="GN38"/>
  <c r="GM38"/>
  <c r="HL32"/>
  <c r="AJ75" i="5" s="1"/>
  <c r="HK32" i="1"/>
  <c r="AH75" i="5" s="1"/>
  <c r="AU26" i="1"/>
  <c r="F59"/>
  <c r="J153" i="5" s="1"/>
  <c r="AT26" i="1"/>
  <c r="F58"/>
  <c r="GN36"/>
  <c r="GM36"/>
  <c r="HL35"/>
  <c r="AJ102" i="5" s="1"/>
  <c r="AT102" s="1"/>
  <c r="HK35" i="1"/>
  <c r="AH102" i="5" s="1"/>
  <c r="AS102" s="1"/>
  <c r="AO81" i="1"/>
  <c r="F103"/>
  <c r="U40"/>
  <c r="AH26"/>
  <c r="CI81"/>
  <c r="AZ99"/>
  <c r="AE26"/>
  <c r="R40"/>
  <c r="F159"/>
  <c r="BB140"/>
  <c r="GM28"/>
  <c r="GN28"/>
  <c r="AJ81"/>
  <c r="W99"/>
  <c r="AP187"/>
  <c r="F221"/>
  <c r="J555" i="5" s="1"/>
  <c r="CF146" i="1"/>
  <c r="P146"/>
  <c r="CE146"/>
  <c r="CH146"/>
  <c r="AC140"/>
  <c r="GO95"/>
  <c r="GM95"/>
  <c r="HL85"/>
  <c r="AJ190" i="5" s="1"/>
  <c r="HK85" i="1"/>
  <c r="AH190" i="5" s="1"/>
  <c r="AX99" i="1"/>
  <c r="CG81"/>
  <c r="F156"/>
  <c r="AQ140"/>
  <c r="HL190"/>
  <c r="AJ436" i="5" s="1"/>
  <c r="HK190" i="1"/>
  <c r="AH436" i="5" s="1"/>
  <c r="HL191" i="1"/>
  <c r="AJ449" i="5" s="1"/>
  <c r="AT449" s="1"/>
  <c r="HK191" i="1"/>
  <c r="AH449" i="5" s="1"/>
  <c r="AS449" s="1"/>
  <c r="GM84" i="1"/>
  <c r="GO84"/>
  <c r="T146"/>
  <c r="AG140"/>
  <c r="HL83"/>
  <c r="AJ165" i="5" s="1"/>
  <c r="HK83" i="1"/>
  <c r="AH165" i="5" s="1"/>
  <c r="HL95" i="1"/>
  <c r="AJ322" i="5" s="1"/>
  <c r="HK95" i="1"/>
  <c r="AH322" i="5" s="1"/>
  <c r="CJ81" i="1"/>
  <c r="BA99"/>
  <c r="GM91"/>
  <c r="GO91"/>
  <c r="GM143"/>
  <c r="GN143"/>
  <c r="GM207"/>
  <c r="BB304"/>
  <c r="F322"/>
  <c r="HL88"/>
  <c r="AJ232" i="5" s="1"/>
  <c r="HK88" i="1"/>
  <c r="AH232" i="5" s="1"/>
  <c r="HL204" i="1"/>
  <c r="AJ495" i="5" s="1"/>
  <c r="HK204" i="1"/>
  <c r="AH495" i="5" s="1"/>
  <c r="V304" i="1"/>
  <c r="F332"/>
  <c r="AJ253"/>
  <c r="W263"/>
  <c r="HL201"/>
  <c r="AJ478" i="5" s="1"/>
  <c r="HK201" i="1"/>
  <c r="AH478" i="5" s="1"/>
  <c r="HL206" i="1"/>
  <c r="AJ511" i="5" s="1"/>
  <c r="HK206" i="1"/>
  <c r="AH511" i="5" s="1"/>
  <c r="HL257" i="1"/>
  <c r="AJ574" i="5" s="1"/>
  <c r="BD574" s="1"/>
  <c r="HK257" i="1"/>
  <c r="AH574" i="5" s="1"/>
  <c r="BC574" s="1"/>
  <c r="HL260" i="1"/>
  <c r="AJ583" i="5" s="1"/>
  <c r="BD583" s="1"/>
  <c r="HK260" i="1"/>
  <c r="AH583" i="5" s="1"/>
  <c r="BC583" s="1"/>
  <c r="HK261" i="1"/>
  <c r="AH586" i="5" s="1"/>
  <c r="BC586" s="1"/>
  <c r="HL261" i="1"/>
  <c r="AJ586" i="5" s="1"/>
  <c r="BD586" s="1"/>
  <c r="F330" i="1"/>
  <c r="T304"/>
  <c r="GM210"/>
  <c r="GO210"/>
  <c r="BA309"/>
  <c r="CJ304"/>
  <c r="F272"/>
  <c r="J599" i="5" s="1"/>
  <c r="AP253" i="1"/>
  <c r="AF304"/>
  <c r="S309"/>
  <c r="HL307"/>
  <c r="AJ622" i="5" s="1"/>
  <c r="HK307" i="1"/>
  <c r="AH622" i="5" s="1"/>
  <c r="AJ304" i="1"/>
  <c r="W309"/>
  <c r="HL200"/>
  <c r="AJ473" i="5" s="1"/>
  <c r="AT473" s="1"/>
  <c r="HK200" i="1"/>
  <c r="AH473" i="5" s="1"/>
  <c r="AS473" s="1"/>
  <c r="HL205" i="1"/>
  <c r="AJ507" i="5" s="1"/>
  <c r="BD507" s="1"/>
  <c r="HK205" i="1"/>
  <c r="AH507" i="5" s="1"/>
  <c r="BC507" s="1"/>
  <c r="AP304" i="1"/>
  <c r="F318"/>
  <c r="J641" i="5" s="1"/>
  <c r="AC304" i="1"/>
  <c r="P309"/>
  <c r="CE309"/>
  <c r="CH309"/>
  <c r="CF309"/>
  <c r="F319"/>
  <c r="AQ304"/>
  <c r="CP34"/>
  <c r="O34" s="1"/>
  <c r="CY96"/>
  <c r="X96" s="1"/>
  <c r="AL146"/>
  <c r="CY196"/>
  <c r="X196" s="1"/>
  <c r="GM196" s="1"/>
  <c r="AD263"/>
  <c r="CZ195"/>
  <c r="Y195" s="1"/>
  <c r="AK263"/>
  <c r="AC263"/>
  <c r="AQ26"/>
  <c r="F50"/>
  <c r="AQ348"/>
  <c r="F49"/>
  <c r="J152" i="5" s="1"/>
  <c r="AP26" i="1"/>
  <c r="AP348"/>
  <c r="HL28"/>
  <c r="AJ32" i="5" s="1"/>
  <c r="HK28" i="1"/>
  <c r="AH32" i="5" s="1"/>
  <c r="BD81" i="1"/>
  <c r="F124"/>
  <c r="J350" i="5" s="1"/>
  <c r="HL36" i="1"/>
  <c r="AJ107" i="5" s="1"/>
  <c r="HK36" i="1"/>
  <c r="AH107" i="5" s="1"/>
  <c r="BC81" i="1"/>
  <c r="F115"/>
  <c r="P40"/>
  <c r="CE40"/>
  <c r="CH40"/>
  <c r="AC26"/>
  <c r="CF40"/>
  <c r="GN191"/>
  <c r="GM191"/>
  <c r="HD191" s="1"/>
  <c r="HL92"/>
  <c r="AJ285" i="5" s="1"/>
  <c r="HK92" i="1"/>
  <c r="AH285" i="5" s="1"/>
  <c r="GO93" i="1"/>
  <c r="GM93"/>
  <c r="HL91"/>
  <c r="AJ274" i="5" s="1"/>
  <c r="HK91" i="1"/>
  <c r="AH274" i="5" s="1"/>
  <c r="HK96" i="1"/>
  <c r="AH328" i="5" s="1"/>
  <c r="BC328" s="1"/>
  <c r="HL96" i="1"/>
  <c r="AJ328" i="5" s="1"/>
  <c r="BD328" s="1"/>
  <c r="AH81" i="1"/>
  <c r="U99"/>
  <c r="AI140"/>
  <c r="V146"/>
  <c r="AF81"/>
  <c r="S99"/>
  <c r="HL97"/>
  <c r="AJ333" i="5" s="1"/>
  <c r="HK97" i="1"/>
  <c r="AH333" i="5" s="1"/>
  <c r="U146" i="1"/>
  <c r="AH140"/>
  <c r="GN201"/>
  <c r="GM201"/>
  <c r="BC187"/>
  <c r="F228"/>
  <c r="HL90"/>
  <c r="AJ260" i="5" s="1"/>
  <c r="HK90" i="1"/>
  <c r="AH260" i="5" s="1"/>
  <c r="AF140" i="1"/>
  <c r="S146"/>
  <c r="AU140"/>
  <c r="F165"/>
  <c r="J410" i="5" s="1"/>
  <c r="CI140" i="1"/>
  <c r="AZ146"/>
  <c r="CJ253"/>
  <c r="BA263"/>
  <c r="BA348" s="1"/>
  <c r="AH187"/>
  <c r="U212"/>
  <c r="GN256"/>
  <c r="CB263" s="1"/>
  <c r="GM256"/>
  <c r="HK196"/>
  <c r="HL196"/>
  <c r="GO259"/>
  <c r="GM259"/>
  <c r="AH304"/>
  <c r="U309"/>
  <c r="CG187"/>
  <c r="AX212"/>
  <c r="AF253"/>
  <c r="S263"/>
  <c r="AE304"/>
  <c r="R309"/>
  <c r="CY198"/>
  <c r="X198" s="1"/>
  <c r="CY195"/>
  <c r="X195" s="1"/>
  <c r="CZ197"/>
  <c r="Y197" s="1"/>
  <c r="HL31"/>
  <c r="AJ65" i="5" s="1"/>
  <c r="HK31" i="1"/>
  <c r="AH65" i="5" s="1"/>
  <c r="GM31" i="1"/>
  <c r="GN31"/>
  <c r="HL29"/>
  <c r="AJ42" i="5" s="1"/>
  <c r="HK29" i="1"/>
  <c r="AH42" i="5" s="1"/>
  <c r="HL37" i="1"/>
  <c r="AJ120" i="5" s="1"/>
  <c r="HK37" i="1"/>
  <c r="AH120" i="5" s="1"/>
  <c r="AI26" i="1"/>
  <c r="V40"/>
  <c r="F118"/>
  <c r="J355" i="5" s="1"/>
  <c r="AU81" i="1"/>
  <c r="CP189"/>
  <c r="O189" s="1"/>
  <c r="AC212"/>
  <c r="HL30"/>
  <c r="AJ52" i="5" s="1"/>
  <c r="HK30" i="1"/>
  <c r="AH52" i="5" s="1"/>
  <c r="F60" i="1"/>
  <c r="BA26"/>
  <c r="F166"/>
  <c r="BA140"/>
  <c r="AG81"/>
  <c r="T99"/>
  <c r="AO187"/>
  <c r="F216"/>
  <c r="HL89"/>
  <c r="AJ246" i="5" s="1"/>
  <c r="HK89" i="1"/>
  <c r="AH246" i="5" s="1"/>
  <c r="F109" i="1"/>
  <c r="AQ81"/>
  <c r="HL143"/>
  <c r="AJ381" i="5" s="1"/>
  <c r="HK143" i="1"/>
  <c r="AH381" i="5" s="1"/>
  <c r="HL144" i="1"/>
  <c r="AJ395" i="5" s="1"/>
  <c r="BD395" s="1"/>
  <c r="HK144" i="1"/>
  <c r="AH395" i="5" s="1"/>
  <c r="BC395" s="1"/>
  <c r="CI187" i="1"/>
  <c r="AZ212"/>
  <c r="AX263"/>
  <c r="CG253"/>
  <c r="HL93"/>
  <c r="AJ298" i="5" s="1"/>
  <c r="HK93" i="1"/>
  <c r="AH298" i="5" s="1"/>
  <c r="HL94" i="1"/>
  <c r="AJ309" i="5" s="1"/>
  <c r="HK94" i="1"/>
  <c r="AH309" i="5" s="1"/>
  <c r="GM87" i="1"/>
  <c r="GO87"/>
  <c r="GN200"/>
  <c r="GM200"/>
  <c r="AU187"/>
  <c r="F231"/>
  <c r="J556" i="5" s="1"/>
  <c r="F267" i="1"/>
  <c r="AO253"/>
  <c r="CJ187"/>
  <c r="BA212"/>
  <c r="HK198"/>
  <c r="AH462" i="5" s="1"/>
  <c r="HL198" i="1"/>
  <c r="AJ462" i="5" s="1"/>
  <c r="HL202" i="1"/>
  <c r="AJ486" i="5" s="1"/>
  <c r="AT486" s="1"/>
  <c r="HK202" i="1"/>
  <c r="AH486" i="5" s="1"/>
  <c r="AS486" s="1"/>
  <c r="AI187" i="1"/>
  <c r="V212"/>
  <c r="GN194"/>
  <c r="GM194"/>
  <c r="HD194" s="1"/>
  <c r="HL208"/>
  <c r="AJ526" i="5" s="1"/>
  <c r="HK208" i="1"/>
  <c r="AH526" i="5" s="1"/>
  <c r="HL258" i="1"/>
  <c r="AJ577" i="5" s="1"/>
  <c r="BD577" s="1"/>
  <c r="HK258" i="1"/>
  <c r="AH577" i="5" s="1"/>
  <c r="BC577" s="1"/>
  <c r="GM203" i="1"/>
  <c r="GO203"/>
  <c r="T263"/>
  <c r="AG253"/>
  <c r="HL207"/>
  <c r="AJ521" i="5" s="1"/>
  <c r="AT521" s="1"/>
  <c r="HK207" i="1"/>
  <c r="AH521" i="5" s="1"/>
  <c r="AS521" s="1"/>
  <c r="HL306" i="1"/>
  <c r="AJ613" i="5" s="1"/>
  <c r="HK306" i="1"/>
  <c r="AH613" i="5" s="1"/>
  <c r="GM206" i="1"/>
  <c r="GN206"/>
  <c r="AD304"/>
  <c r="Q309"/>
  <c r="HK195"/>
  <c r="HL195"/>
  <c r="AQ187"/>
  <c r="F222"/>
  <c r="AT304"/>
  <c r="F327"/>
  <c r="AL40"/>
  <c r="AL99"/>
  <c r="AC99"/>
  <c r="AK146"/>
  <c r="CP199"/>
  <c r="O199" s="1"/>
  <c r="CY197"/>
  <c r="X197" s="1"/>
  <c r="GM197" s="1"/>
  <c r="AL263"/>
  <c r="L434" i="5" l="1"/>
  <c r="AT423"/>
  <c r="L73"/>
  <c r="AT65"/>
  <c r="AT107"/>
  <c r="L118"/>
  <c r="GN207" i="1"/>
  <c r="BD190" i="5"/>
  <c r="L202"/>
  <c r="BC218"/>
  <c r="L229"/>
  <c r="BD177"/>
  <c r="L188"/>
  <c r="L140"/>
  <c r="AT131"/>
  <c r="AP380"/>
  <c r="J376"/>
  <c r="AB380"/>
  <c r="J403" s="1"/>
  <c r="AN380"/>
  <c r="I380"/>
  <c r="O380" s="1"/>
  <c r="CP83" i="1"/>
  <c r="O83" s="1"/>
  <c r="AD99"/>
  <c r="AX576" i="5"/>
  <c r="I576"/>
  <c r="I41"/>
  <c r="O41" s="1"/>
  <c r="AN41"/>
  <c r="BX628"/>
  <c r="BY628" s="1"/>
  <c r="BU628"/>
  <c r="L628"/>
  <c r="L230"/>
  <c r="BD218"/>
  <c r="L93"/>
  <c r="AS86"/>
  <c r="AN506"/>
  <c r="I506"/>
  <c r="O506" s="1"/>
  <c r="L187"/>
  <c r="BC177"/>
  <c r="BU629"/>
  <c r="L629"/>
  <c r="BX629"/>
  <c r="BY629" s="1"/>
  <c r="L94"/>
  <c r="AT86"/>
  <c r="I19"/>
  <c r="L72"/>
  <c r="AS65"/>
  <c r="GN198" i="1"/>
  <c r="AG462" i="5"/>
  <c r="L504"/>
  <c r="AS495"/>
  <c r="L117"/>
  <c r="AS107"/>
  <c r="L505"/>
  <c r="AT495"/>
  <c r="L378"/>
  <c r="AS367"/>
  <c r="GO85" i="1"/>
  <c r="GN193"/>
  <c r="GM193"/>
  <c r="AB85" i="5"/>
  <c r="I85"/>
  <c r="O85" s="1"/>
  <c r="AN85"/>
  <c r="AP85"/>
  <c r="J81"/>
  <c r="AX510"/>
  <c r="I510"/>
  <c r="BD285"/>
  <c r="L296"/>
  <c r="AT462"/>
  <c r="L319"/>
  <c r="BC309"/>
  <c r="L392"/>
  <c r="AS381"/>
  <c r="L128"/>
  <c r="AS120"/>
  <c r="L39"/>
  <c r="AS32"/>
  <c r="L446"/>
  <c r="AS436"/>
  <c r="L379"/>
  <c r="AT367"/>
  <c r="AD40" i="1"/>
  <c r="CP32"/>
  <c r="O32" s="1"/>
  <c r="AF472" i="5"/>
  <c r="AN472"/>
  <c r="AO472"/>
  <c r="GM205" i="1"/>
  <c r="GO205"/>
  <c r="CC212" s="1"/>
  <c r="AS462" i="5"/>
  <c r="BD309"/>
  <c r="L320"/>
  <c r="L393"/>
  <c r="AT381"/>
  <c r="AT120"/>
  <c r="L129"/>
  <c r="GO89" i="1"/>
  <c r="BC274" i="5"/>
  <c r="L282"/>
  <c r="L40"/>
  <c r="AT32"/>
  <c r="L447"/>
  <c r="AT436"/>
  <c r="BC204"/>
  <c r="L215"/>
  <c r="AB525"/>
  <c r="J520"/>
  <c r="I525"/>
  <c r="O525" s="1"/>
  <c r="AN525"/>
  <c r="AP525"/>
  <c r="AZ203"/>
  <c r="AB203"/>
  <c r="J199"/>
  <c r="AX203"/>
  <c r="I203"/>
  <c r="O203" s="1"/>
  <c r="AB477"/>
  <c r="J471"/>
  <c r="AP477"/>
  <c r="J661"/>
  <c r="L201"/>
  <c r="BC190"/>
  <c r="L139"/>
  <c r="AS131"/>
  <c r="AB490"/>
  <c r="J485"/>
  <c r="AN490"/>
  <c r="AP490"/>
  <c r="I490"/>
  <c r="O490" s="1"/>
  <c r="AS526"/>
  <c r="L538"/>
  <c r="L306"/>
  <c r="BC298"/>
  <c r="GM190" i="1"/>
  <c r="L49" i="5"/>
  <c r="AS42"/>
  <c r="BC260"/>
  <c r="L271"/>
  <c r="L283"/>
  <c r="BD274"/>
  <c r="GM96" i="1"/>
  <c r="AG328" i="5"/>
  <c r="J330" s="1"/>
  <c r="AS511"/>
  <c r="L523"/>
  <c r="BC232"/>
  <c r="L243"/>
  <c r="L330"/>
  <c r="BC322"/>
  <c r="BD204"/>
  <c r="L216"/>
  <c r="CZ199" i="1"/>
  <c r="Y199" s="1"/>
  <c r="AF212"/>
  <c r="CY199"/>
  <c r="X199" s="1"/>
  <c r="AG472" i="5" s="1"/>
  <c r="HJ199" i="1"/>
  <c r="BN630" i="5"/>
  <c r="I630"/>
  <c r="O630" s="1"/>
  <c r="BV630" s="1"/>
  <c r="BW630" s="1"/>
  <c r="L656"/>
  <c r="BD298"/>
  <c r="L307"/>
  <c r="L50"/>
  <c r="AT42"/>
  <c r="BD260"/>
  <c r="L272"/>
  <c r="L341"/>
  <c r="BC333"/>
  <c r="AB40" i="1"/>
  <c r="AT511" i="5"/>
  <c r="L524"/>
  <c r="L244"/>
  <c r="BD232"/>
  <c r="BD322"/>
  <c r="L331"/>
  <c r="L83"/>
  <c r="AS75"/>
  <c r="AB231"/>
  <c r="AZ231"/>
  <c r="J227"/>
  <c r="I231"/>
  <c r="O231" s="1"/>
  <c r="AX231"/>
  <c r="I51"/>
  <c r="O51" s="1"/>
  <c r="AN51"/>
  <c r="GM86" i="1"/>
  <c r="GO86"/>
  <c r="L660" i="5"/>
  <c r="AB435"/>
  <c r="AP435"/>
  <c r="I435"/>
  <c r="O435" s="1"/>
  <c r="J431"/>
  <c r="AN435"/>
  <c r="AD146" i="1"/>
  <c r="BX619" i="5"/>
  <c r="BY619" s="1"/>
  <c r="L619"/>
  <c r="BU619"/>
  <c r="L257"/>
  <c r="BC246"/>
  <c r="L62"/>
  <c r="AS52"/>
  <c r="BD333"/>
  <c r="L342"/>
  <c r="AK40" i="1"/>
  <c r="X40" s="1"/>
  <c r="AS478" i="5"/>
  <c r="L488"/>
  <c r="BC165"/>
  <c r="L174"/>
  <c r="L84"/>
  <c r="AT75"/>
  <c r="BN621"/>
  <c r="I621"/>
  <c r="O621" s="1"/>
  <c r="I95"/>
  <c r="O95" s="1"/>
  <c r="AN95"/>
  <c r="AZ176"/>
  <c r="I176"/>
  <c r="O176" s="1"/>
  <c r="J172"/>
  <c r="AX176"/>
  <c r="AB176"/>
  <c r="L539"/>
  <c r="AT526"/>
  <c r="BU620"/>
  <c r="L620"/>
  <c r="BX620"/>
  <c r="BY620" s="1"/>
  <c r="BD246"/>
  <c r="L258"/>
  <c r="L63"/>
  <c r="AT52"/>
  <c r="L295"/>
  <c r="BC285"/>
  <c r="AT478"/>
  <c r="L489"/>
  <c r="L175"/>
  <c r="BD165"/>
  <c r="L433"/>
  <c r="AS423"/>
  <c r="AB448"/>
  <c r="J444"/>
  <c r="AN448"/>
  <c r="AP448"/>
  <c r="I448"/>
  <c r="O448" s="1"/>
  <c r="AK309" i="1"/>
  <c r="AZ259" i="5"/>
  <c r="I259"/>
  <c r="O259" s="1"/>
  <c r="J255"/>
  <c r="AX259"/>
  <c r="AB259"/>
  <c r="AB26" i="1"/>
  <c r="O40"/>
  <c r="BA22"/>
  <c r="F368"/>
  <c r="BA387"/>
  <c r="X146"/>
  <c r="AK140"/>
  <c r="T253"/>
  <c r="F284"/>
  <c r="AX253"/>
  <c r="F270"/>
  <c r="GM199"/>
  <c r="GN199"/>
  <c r="Q304"/>
  <c r="F321"/>
  <c r="V187"/>
  <c r="F235"/>
  <c r="T81"/>
  <c r="F120"/>
  <c r="GN189"/>
  <c r="GM189"/>
  <c r="CB253"/>
  <c r="AS263"/>
  <c r="F114"/>
  <c r="S81"/>
  <c r="U81"/>
  <c r="F121"/>
  <c r="CF26"/>
  <c r="AW40"/>
  <c r="P26"/>
  <c r="F43"/>
  <c r="J147" i="5" s="1"/>
  <c r="AQ22" i="1"/>
  <c r="F358"/>
  <c r="AQ387"/>
  <c r="X263"/>
  <c r="AK253"/>
  <c r="Y146"/>
  <c r="AL140"/>
  <c r="AV309"/>
  <c r="CE304"/>
  <c r="BA304"/>
  <c r="F329"/>
  <c r="T140"/>
  <c r="F167"/>
  <c r="CH140"/>
  <c r="AY146"/>
  <c r="AF26"/>
  <c r="S40"/>
  <c r="AR309"/>
  <c r="CA304"/>
  <c r="R253"/>
  <c r="F277"/>
  <c r="T187"/>
  <c r="F233"/>
  <c r="F160"/>
  <c r="R140"/>
  <c r="AB140"/>
  <c r="O146"/>
  <c r="CC140"/>
  <c r="AT146"/>
  <c r="HK34"/>
  <c r="AH96" i="5" s="1"/>
  <c r="AS96" s="1"/>
  <c r="HL34" i="1"/>
  <c r="AJ96" i="5" s="1"/>
  <c r="AT96" s="1"/>
  <c r="AK212" i="1"/>
  <c r="GN196"/>
  <c r="GM198"/>
  <c r="GO96"/>
  <c r="AC187"/>
  <c r="CF212"/>
  <c r="P212"/>
  <c r="CE212"/>
  <c r="CH212"/>
  <c r="V26"/>
  <c r="F63"/>
  <c r="V348"/>
  <c r="U187"/>
  <c r="F234"/>
  <c r="AZ140"/>
  <c r="F157"/>
  <c r="F168"/>
  <c r="U140"/>
  <c r="CE26"/>
  <c r="AV40"/>
  <c r="P263"/>
  <c r="CE263"/>
  <c r="CH263"/>
  <c r="AC253"/>
  <c r="CF263"/>
  <c r="CH304"/>
  <c r="AY309"/>
  <c r="S304"/>
  <c r="F324"/>
  <c r="W253"/>
  <c r="F287"/>
  <c r="CF140"/>
  <c r="AW146"/>
  <c r="AZ81"/>
  <c r="F110"/>
  <c r="AO22"/>
  <c r="F352"/>
  <c r="AO387"/>
  <c r="R99"/>
  <c r="AE81"/>
  <c r="CD304"/>
  <c r="AU309"/>
  <c r="AZ304"/>
  <c r="F320"/>
  <c r="AZ253"/>
  <c r="F274"/>
  <c r="BB22"/>
  <c r="F361"/>
  <c r="BB387"/>
  <c r="CA263"/>
  <c r="AL81"/>
  <c r="Y99"/>
  <c r="S253"/>
  <c r="F278"/>
  <c r="U304"/>
  <c r="F331"/>
  <c r="S140"/>
  <c r="F161"/>
  <c r="AL253"/>
  <c r="Y263"/>
  <c r="AC81"/>
  <c r="CF99"/>
  <c r="P99"/>
  <c r="CE99"/>
  <c r="CH99"/>
  <c r="BA187"/>
  <c r="F232"/>
  <c r="AZ187"/>
  <c r="F223"/>
  <c r="GM195"/>
  <c r="GN195"/>
  <c r="V140"/>
  <c r="F169"/>
  <c r="CH26"/>
  <c r="AY40"/>
  <c r="AD253"/>
  <c r="Q263"/>
  <c r="GN34"/>
  <c r="GM34"/>
  <c r="HD34" s="1"/>
  <c r="CM40" s="1"/>
  <c r="AW309"/>
  <c r="CF304"/>
  <c r="AX81"/>
  <c r="F106"/>
  <c r="P140"/>
  <c r="F149"/>
  <c r="J404" i="5" s="1"/>
  <c r="J400" s="1"/>
  <c r="W81" i="1"/>
  <c r="F123"/>
  <c r="U26"/>
  <c r="F62"/>
  <c r="U348"/>
  <c r="AL304"/>
  <c r="Y309"/>
  <c r="AB304"/>
  <c r="O309"/>
  <c r="U253"/>
  <c r="F285"/>
  <c r="V253"/>
  <c r="F286"/>
  <c r="W187"/>
  <c r="F236"/>
  <c r="AX304"/>
  <c r="F316"/>
  <c r="W140"/>
  <c r="F170"/>
  <c r="BC22"/>
  <c r="F364"/>
  <c r="BC387"/>
  <c r="GN197"/>
  <c r="CC263"/>
  <c r="CA146"/>
  <c r="AZ348"/>
  <c r="Y40"/>
  <c r="AL26"/>
  <c r="R304"/>
  <c r="F323"/>
  <c r="AX187"/>
  <c r="F219"/>
  <c r="F283"/>
  <c r="BA253"/>
  <c r="AP22"/>
  <c r="F357"/>
  <c r="AP387"/>
  <c r="P304"/>
  <c r="F312"/>
  <c r="J636" i="5" s="1"/>
  <c r="J632" s="1"/>
  <c r="F333" i="1"/>
  <c r="W304"/>
  <c r="BA81"/>
  <c r="F119"/>
  <c r="CE140"/>
  <c r="AV146"/>
  <c r="R26"/>
  <c r="F54"/>
  <c r="R348"/>
  <c r="T26"/>
  <c r="F61"/>
  <c r="T348"/>
  <c r="AB253"/>
  <c r="O263"/>
  <c r="AE187"/>
  <c r="R212"/>
  <c r="V81"/>
  <c r="F122"/>
  <c r="AX140"/>
  <c r="F153"/>
  <c r="W26"/>
  <c r="F64"/>
  <c r="W348"/>
  <c r="AD212"/>
  <c r="CP192"/>
  <c r="O192" s="1"/>
  <c r="AX26"/>
  <c r="F47"/>
  <c r="AX348"/>
  <c r="AK99"/>
  <c r="CB146"/>
  <c r="AT212" l="1"/>
  <c r="CC187"/>
  <c r="Q146"/>
  <c r="AD140"/>
  <c r="AB99"/>
  <c r="GO83"/>
  <c r="CC99" s="1"/>
  <c r="AT99" s="1"/>
  <c r="GM83"/>
  <c r="CA99" s="1"/>
  <c r="CA81" s="1"/>
  <c r="BQ510" i="5"/>
  <c r="AY510"/>
  <c r="C21" s="1"/>
  <c r="AF510"/>
  <c r="O510"/>
  <c r="HL199" i="1"/>
  <c r="AJ472" i="5" s="1"/>
  <c r="HK199" i="1"/>
  <c r="AH472" i="5" s="1"/>
  <c r="L661" s="1"/>
  <c r="AK26" i="1"/>
  <c r="BV621" i="5"/>
  <c r="BW621"/>
  <c r="I332"/>
  <c r="O332" s="1"/>
  <c r="AX332"/>
  <c r="J666"/>
  <c r="J664" s="1"/>
  <c r="D23"/>
  <c r="J549"/>
  <c r="AF187" i="1"/>
  <c r="S212"/>
  <c r="AI472" i="5"/>
  <c r="AL212" i="1"/>
  <c r="GM32"/>
  <c r="CA40" s="1"/>
  <c r="GN32"/>
  <c r="CB40" s="1"/>
  <c r="Q40"/>
  <c r="AD26"/>
  <c r="J146" i="5"/>
  <c r="J657"/>
  <c r="L657" s="1"/>
  <c r="J348"/>
  <c r="J345" s="1"/>
  <c r="C23"/>
  <c r="L666"/>
  <c r="L664" s="1"/>
  <c r="J475"/>
  <c r="AF576"/>
  <c r="AY576"/>
  <c r="O576"/>
  <c r="BQ576"/>
  <c r="AK304" i="1"/>
  <c r="X309"/>
  <c r="D21" i="5"/>
  <c r="L662"/>
  <c r="AD81" i="1"/>
  <c r="Q99"/>
  <c r="AZ22"/>
  <c r="F359"/>
  <c r="AZ387"/>
  <c r="AV140"/>
  <c r="F151"/>
  <c r="CA26"/>
  <c r="AR40"/>
  <c r="Y304"/>
  <c r="F336"/>
  <c r="AK81"/>
  <c r="X99"/>
  <c r="W22"/>
  <c r="F372"/>
  <c r="W387"/>
  <c r="AT263"/>
  <c r="CC253"/>
  <c r="F275"/>
  <c r="Q253"/>
  <c r="CF81"/>
  <c r="AW99"/>
  <c r="AR263"/>
  <c r="CA253"/>
  <c r="R81"/>
  <c r="F113"/>
  <c r="F317"/>
  <c r="AY304"/>
  <c r="CF253"/>
  <c r="AW263"/>
  <c r="P253"/>
  <c r="F266"/>
  <c r="J594" i="5" s="1"/>
  <c r="J590" s="1"/>
  <c r="P187" i="1"/>
  <c r="F215"/>
  <c r="J550" i="5" s="1"/>
  <c r="AR304" i="1"/>
  <c r="F337"/>
  <c r="J643" i="5" s="1"/>
  <c r="Y140" i="1"/>
  <c r="F173"/>
  <c r="BA18"/>
  <c r="F407"/>
  <c r="GN192"/>
  <c r="GM192"/>
  <c r="HD192" s="1"/>
  <c r="CM212" s="1"/>
  <c r="CB140"/>
  <c r="AS146"/>
  <c r="AX22"/>
  <c r="F355"/>
  <c r="AX387"/>
  <c r="AD187"/>
  <c r="Q212"/>
  <c r="R187"/>
  <c r="F226"/>
  <c r="T22"/>
  <c r="F369"/>
  <c r="T387"/>
  <c r="AP18"/>
  <c r="F396"/>
  <c r="CA140"/>
  <c r="AR146"/>
  <c r="F311"/>
  <c r="F338" s="1"/>
  <c r="O304"/>
  <c r="U22"/>
  <c r="F370"/>
  <c r="J20" i="5" s="1"/>
  <c r="U387" i="1"/>
  <c r="AT187"/>
  <c r="F230"/>
  <c r="P81"/>
  <c r="F102"/>
  <c r="J349" i="5" s="1"/>
  <c r="X26" i="1"/>
  <c r="F66"/>
  <c r="AV263"/>
  <c r="CE253"/>
  <c r="V22"/>
  <c r="F371"/>
  <c r="J21" i="5" s="1"/>
  <c r="V387" i="1"/>
  <c r="CE187"/>
  <c r="AV212"/>
  <c r="F148"/>
  <c r="F175" s="1"/>
  <c r="O140"/>
  <c r="AY140"/>
  <c r="F154"/>
  <c r="AQ18"/>
  <c r="F397"/>
  <c r="X140"/>
  <c r="F172"/>
  <c r="O26"/>
  <c r="F42"/>
  <c r="F69" s="1"/>
  <c r="CB212"/>
  <c r="R22"/>
  <c r="R387"/>
  <c r="F362"/>
  <c r="BC18"/>
  <c r="F403"/>
  <c r="CM26"/>
  <c r="BD40"/>
  <c r="CE81"/>
  <c r="AV99"/>
  <c r="AV348" s="1"/>
  <c r="F290"/>
  <c r="Y253"/>
  <c r="Y81"/>
  <c r="F126"/>
  <c r="BB18"/>
  <c r="F400"/>
  <c r="F152"/>
  <c r="AW140"/>
  <c r="AY263"/>
  <c r="CH253"/>
  <c r="CH187"/>
  <c r="AY212"/>
  <c r="AK187"/>
  <c r="X212"/>
  <c r="X348" s="1"/>
  <c r="F314"/>
  <c r="AV304"/>
  <c r="X253"/>
  <c r="F289"/>
  <c r="P348"/>
  <c r="CB26"/>
  <c r="AS40"/>
  <c r="O253"/>
  <c r="F265"/>
  <c r="F292" s="1"/>
  <c r="Y26"/>
  <c r="F67"/>
  <c r="F315"/>
  <c r="AW304"/>
  <c r="AY26"/>
  <c r="F48"/>
  <c r="CH81"/>
  <c r="AY99"/>
  <c r="AY348" s="1"/>
  <c r="CC81"/>
  <c r="AU304"/>
  <c r="F328"/>
  <c r="J642" i="5" s="1"/>
  <c r="AU348" i="1"/>
  <c r="AO18"/>
  <c r="F391"/>
  <c r="AV26"/>
  <c r="F45"/>
  <c r="CF187"/>
  <c r="AW212"/>
  <c r="AW348" s="1"/>
  <c r="F164"/>
  <c r="AT140"/>
  <c r="S26"/>
  <c r="F55"/>
  <c r="S348"/>
  <c r="AW26"/>
  <c r="F46"/>
  <c r="F280"/>
  <c r="AS253"/>
  <c r="AB212"/>
  <c r="F130" l="1"/>
  <c r="J353" i="5"/>
  <c r="F70" i="1"/>
  <c r="J150" i="5"/>
  <c r="Q81" i="1"/>
  <c r="F111"/>
  <c r="J658" i="5"/>
  <c r="L658" s="1"/>
  <c r="L654" s="1"/>
  <c r="L668" s="1"/>
  <c r="AB81" i="1"/>
  <c r="O99"/>
  <c r="F295"/>
  <c r="F300" s="1"/>
  <c r="B300" s="1"/>
  <c r="F52"/>
  <c r="Q26"/>
  <c r="F176"/>
  <c r="J407" i="5"/>
  <c r="F177" i="1"/>
  <c r="J408" i="5"/>
  <c r="AR99" i="1"/>
  <c r="F335"/>
  <c r="X304"/>
  <c r="CA212"/>
  <c r="CA187" s="1"/>
  <c r="F158"/>
  <c r="Q140"/>
  <c r="F294"/>
  <c r="J598" i="5"/>
  <c r="AS472"/>
  <c r="C20" s="1"/>
  <c r="C17" s="1"/>
  <c r="L475"/>
  <c r="F293" i="1"/>
  <c r="J597" i="5"/>
  <c r="F340" i="1"/>
  <c r="J640" i="5"/>
  <c r="I477"/>
  <c r="O477" s="1"/>
  <c r="AN477"/>
  <c r="D20" s="1"/>
  <c r="D17" s="1"/>
  <c r="J662"/>
  <c r="J476"/>
  <c r="AT472"/>
  <c r="L476"/>
  <c r="F71" i="1"/>
  <c r="J151" i="5"/>
  <c r="Y212" i="1"/>
  <c r="AL187"/>
  <c r="S187"/>
  <c r="F227"/>
  <c r="F178"/>
  <c r="F183" s="1"/>
  <c r="B183" s="1"/>
  <c r="S22"/>
  <c r="F363"/>
  <c r="S387"/>
  <c r="AU22"/>
  <c r="F367"/>
  <c r="AU387"/>
  <c r="AT81"/>
  <c r="F117"/>
  <c r="AT348"/>
  <c r="P22"/>
  <c r="F351"/>
  <c r="P387"/>
  <c r="CB187"/>
  <c r="AS212"/>
  <c r="AV187"/>
  <c r="F217"/>
  <c r="Q187"/>
  <c r="F224"/>
  <c r="Q348"/>
  <c r="AT253"/>
  <c r="F281"/>
  <c r="X81"/>
  <c r="F125"/>
  <c r="AR26"/>
  <c r="F68"/>
  <c r="J154" i="5" s="1"/>
  <c r="AZ18" i="1"/>
  <c r="F398"/>
  <c r="AR140"/>
  <c r="F174"/>
  <c r="J411" i="5" s="1"/>
  <c r="T18" i="1"/>
  <c r="F408"/>
  <c r="CM187"/>
  <c r="BD212"/>
  <c r="BD348" s="1"/>
  <c r="AW253"/>
  <c r="F269"/>
  <c r="AW81"/>
  <c r="F105"/>
  <c r="AR81"/>
  <c r="F127"/>
  <c r="J356" i="5" s="1"/>
  <c r="AV22" i="1"/>
  <c r="F353"/>
  <c r="AV387"/>
  <c r="AY22"/>
  <c r="AY387"/>
  <c r="F356"/>
  <c r="AV81"/>
  <c r="F104"/>
  <c r="X22"/>
  <c r="X387"/>
  <c r="F374"/>
  <c r="F378" s="1"/>
  <c r="AB187"/>
  <c r="O212"/>
  <c r="AY253"/>
  <c r="F271"/>
  <c r="R18"/>
  <c r="F401"/>
  <c r="V18"/>
  <c r="F410"/>
  <c r="AV253"/>
  <c r="F268"/>
  <c r="U18"/>
  <c r="F409"/>
  <c r="AX18"/>
  <c r="F394"/>
  <c r="AR253"/>
  <c r="F291"/>
  <c r="J601" i="5" s="1"/>
  <c r="F72" i="1"/>
  <c r="F77" s="1"/>
  <c r="B77" s="1"/>
  <c r="AY187"/>
  <c r="F220"/>
  <c r="AW22"/>
  <c r="AW387"/>
  <c r="F354"/>
  <c r="AW187"/>
  <c r="F218"/>
  <c r="AY81"/>
  <c r="F107"/>
  <c r="F57"/>
  <c r="AS26"/>
  <c r="AS348"/>
  <c r="X187"/>
  <c r="F238"/>
  <c r="BD26"/>
  <c r="F65"/>
  <c r="J148" i="5" s="1"/>
  <c r="J143" s="1"/>
  <c r="F163" i="1"/>
  <c r="AS140"/>
  <c r="W18"/>
  <c r="F411"/>
  <c r="O81" l="1"/>
  <c r="F101"/>
  <c r="F128" s="1"/>
  <c r="F339"/>
  <c r="F341" s="1"/>
  <c r="F346" s="1"/>
  <c r="B346" s="1"/>
  <c r="J639" i="5"/>
  <c r="L669"/>
  <c r="L670"/>
  <c r="F239" i="1"/>
  <c r="Y187"/>
  <c r="Y348"/>
  <c r="J654" i="5"/>
  <c r="J668" s="1"/>
  <c r="F242" i="1"/>
  <c r="J553" i="5"/>
  <c r="AR212" i="1"/>
  <c r="F129"/>
  <c r="F131" s="1"/>
  <c r="F136" s="1"/>
  <c r="B136" s="1"/>
  <c r="J352" i="5"/>
  <c r="BD22" i="1"/>
  <c r="F373"/>
  <c r="BD387"/>
  <c r="X18"/>
  <c r="F413"/>
  <c r="F417" s="1"/>
  <c r="Q22"/>
  <c r="F360"/>
  <c r="Q387"/>
  <c r="AU18"/>
  <c r="F406"/>
  <c r="AV18"/>
  <c r="F392"/>
  <c r="P18"/>
  <c r="F390"/>
  <c r="S18"/>
  <c r="F402"/>
  <c r="AS22"/>
  <c r="F365"/>
  <c r="AS387"/>
  <c r="AW18"/>
  <c r="F393"/>
  <c r="AR187"/>
  <c r="F240"/>
  <c r="J557" i="5" s="1"/>
  <c r="O187" i="1"/>
  <c r="F214"/>
  <c r="F241" s="1"/>
  <c r="O348"/>
  <c r="AY18"/>
  <c r="F395"/>
  <c r="AS187"/>
  <c r="F229"/>
  <c r="AT22"/>
  <c r="F366"/>
  <c r="AT387"/>
  <c r="AR348"/>
  <c r="BD187"/>
  <c r="F237"/>
  <c r="J551" i="5" s="1"/>
  <c r="J546" s="1"/>
  <c r="F375" i="1" l="1"/>
  <c r="F379" s="1"/>
  <c r="Y387"/>
  <c r="Y22"/>
  <c r="F243"/>
  <c r="J554" i="5"/>
  <c r="F244" i="1"/>
  <c r="F249" s="1"/>
  <c r="B249" s="1"/>
  <c r="AR22"/>
  <c r="AR387"/>
  <c r="F376"/>
  <c r="O22"/>
  <c r="F350"/>
  <c r="F377" s="1"/>
  <c r="F380" s="1"/>
  <c r="F385" s="1"/>
  <c r="B385" s="1"/>
  <c r="O387"/>
  <c r="Q18"/>
  <c r="F399"/>
  <c r="AS18"/>
  <c r="F404"/>
  <c r="BD18"/>
  <c r="F412"/>
  <c r="AT18"/>
  <c r="F405"/>
  <c r="Y18" l="1"/>
  <c r="F414"/>
  <c r="F418" s="1"/>
  <c r="O18"/>
  <c r="F389"/>
  <c r="F416" s="1"/>
  <c r="F419" s="1"/>
  <c r="F424" s="1"/>
  <c r="B424" s="1"/>
  <c r="AR18"/>
  <c r="F415"/>
</calcChain>
</file>

<file path=xl/sharedStrings.xml><?xml version="1.0" encoding="utf-8"?>
<sst xmlns="http://schemas.openxmlformats.org/spreadsheetml/2006/main" count="7995" uniqueCount="898">
  <si>
    <t>Smeta.RU  (495) 974-1589</t>
  </si>
  <si>
    <t>_PS_</t>
  </si>
  <si>
    <t>Smeta.RU</t>
  </si>
  <si>
    <t/>
  </si>
  <si>
    <t>Новый объект_(Копия)_(Копия)_(Копия)_(Копия)_(Копия)_(Копия)_(Копия)_(Копия)_(Копия)_(Копия)_(Копия)_(Копия)_(Копия)_(Копия)_(Копия)_(Копия)</t>
  </si>
  <si>
    <t>38-03-23 КЛ-1 кВ ТП-477 Засечное примерно 6,7 км на северо-восток асфальт</t>
  </si>
  <si>
    <t>Сметные нормы списания</t>
  </si>
  <si>
    <t>Коды ценников</t>
  </si>
  <si>
    <t>ТЕР Пензы 2014 (Методики НР (821/пр) и СП (774/пр) от 16.04.2021 г. (1)</t>
  </si>
  <si>
    <t>Версия 1.3.2 ГСН (ГЭСН, ФЕР) и ТЕР (Методики НР (812/пр и 636/пр) и СП (774/пр) с 22.10.2021 г.) шифры НР, СП и ПНР с версии Smeta.ru 11.4.1.0</t>
  </si>
  <si>
    <t>Пензенская область редакция 2014 г</t>
  </si>
  <si>
    <t>2КЛ-1 кВ от РУ-0,4 кВ ТП-477 ф.1.4, ф.7.1 -муфты М1, М2</t>
  </si>
  <si>
    <t>Новая локальная смета</t>
  </si>
  <si>
    <t>Новый раздел</t>
  </si>
  <si>
    <t>Земляные работы</t>
  </si>
  <si>
    <t>1</t>
  </si>
  <si>
    <t>01-02-058-2</t>
  </si>
  <si>
    <t>Копание ям вручную без креплений для стоек и столбов без откосов глубиной до 0,7 м, группа грунтов 2</t>
  </si>
  <si>
    <t>100 м3 грунта</t>
  </si>
  <si>
    <t>ТЕР01-02-058-2 Пр. Минстроя России от 27.02.2015 № 140/пр</t>
  </si>
  <si>
    <t>*1,2*1,15</t>
  </si>
  <si>
    <t>Общестроительные работы</t>
  </si>
  <si>
    <t>Земляные работы, выполняемые: ручным способом</t>
  </si>
  <si>
    <t>ФЕР-01</t>
  </si>
  <si>
    <t>Пр/812-001.2-1</t>
  </si>
  <si>
    <t>Пр/774-001.2</t>
  </si>
  <si>
    <t>2</t>
  </si>
  <si>
    <t>01-02-061-1</t>
  </si>
  <si>
    <t>Засыпка вручную траншей, пазух котлованов и ям, группа грунтов 1</t>
  </si>
  <si>
    <t>ТЕР01-02-061-1 Пр. Минстроя России от 27.02.2015 № 140/пр</t>
  </si>
  <si>
    <t>3</t>
  </si>
  <si>
    <t>01-01-004-5</t>
  </si>
  <si>
    <t>Разработка грунта в отвал экскаваторами &lt;драглайн&gt; или &lt;обратная лопата&gt; с ковшом вместимостью 0,25 м3, группа грунтов 2</t>
  </si>
  <si>
    <t>1000 м3 грунта</t>
  </si>
  <si>
    <t>ТЕР01-01-004-5 Пр. Минстроя России от 27.02.2015 № 140/пр</t>
  </si>
  <si>
    <t>Земляные работы, выполняемые: механизированным способом</t>
  </si>
  <si>
    <t>Пр/812-001.1-1</t>
  </si>
  <si>
    <t>Пр/774-001.1</t>
  </si>
  <si>
    <t>4</t>
  </si>
  <si>
    <t>01-02-057-2</t>
  </si>
  <si>
    <t>Разработка грунта вручную в траншеях глубиной до 2 м без креплений с откосами, группа грунтов 2</t>
  </si>
  <si>
    <t>ТЕР01-02-057-2 Пр. Минстроя России от 27.02.2015 № 140/пр</t>
  </si>
  <si>
    <t>5</t>
  </si>
  <si>
    <t>01-01-033-2</t>
  </si>
  <si>
    <t>Засыпка траншей и котлованов с перемещением грунта до 5 м бульдозерами мощностью 59 кВт (80 л.с.), группа грунтов 2</t>
  </si>
  <si>
    <t>ТЕР01-01-033-2 Пр. Минстроя России от 27.02.2015 № 140/пр</t>
  </si>
  <si>
    <t>6</t>
  </si>
  <si>
    <t>7</t>
  </si>
  <si>
    <t>т01-01-01-039</t>
  </si>
  <si>
    <t>Погрузка при автомобильных перевозках грунта растительного слоя (земля, перегной)</t>
  </si>
  <si>
    <t>1 Т ГРУЗА</t>
  </si>
  <si>
    <t>ТЕРт01-01-01-039 Пр. Минстроя России от 27.02.2015 № 140/пр</t>
  </si>
  <si>
    <t>Погрузочно-разгрузочные работы</t>
  </si>
  <si>
    <t>ФССЦпр  пог. а/п (2011,изм. 4-6)</t>
  </si>
  <si>
    <t>8</t>
  </si>
  <si>
    <t>т03-21-01-015</t>
  </si>
  <si>
    <t>Перевозка грузов I класса автомобилями-самосвалами грузоподъемностью 10 т работающих вне карьера на расстояние до 15 км</t>
  </si>
  <si>
    <t>ТЕРт03-21-01-015 Пр. Минстроя России от 27.02.2015 № 140/пр</t>
  </si>
  <si>
    <t>Перевозка грузов авто/транспортом</t>
  </si>
  <si>
    <t>Перевозка грузов. Автомобильные перевозки  ( 2003 г., ч.1;  ФССЦпр-2011-изм. № 4-6 , раздел 3; )</t>
  </si>
  <si>
    <t>ФССЦ а/п (2003/2011 изм. 4-6)</t>
  </si>
  <si>
    <t>9</t>
  </si>
  <si>
    <t>22-01-021-5</t>
  </si>
  <si>
    <t>Укладка трубопроводов из полиэтиленовых труб диаметром 150 мм</t>
  </si>
  <si>
    <t>1 км трубопровода</t>
  </si>
  <si>
    <t>ТЕР22-01-021-5 Пр. Минстроя России от 27.02.2015 № 140/пр</t>
  </si>
  <si>
    <t>*1,15*1,2</t>
  </si>
  <si>
    <t>Наружные сети водопровода, канализации, теплоснабжения, газопроводы</t>
  </si>
  <si>
    <t>ФЕР-22</t>
  </si>
  <si>
    <t>Пр/812-018.0-1</t>
  </si>
  <si>
    <t>Пр/774-018.0</t>
  </si>
  <si>
    <t>10</t>
  </si>
  <si>
    <t>47-01-046-4</t>
  </si>
  <si>
    <t>Подготовка почвы для устройства партерного и обыкновенного газона с внесением растительной земли слоем 15 см вручную</t>
  </si>
  <si>
    <t>100 м2</t>
  </si>
  <si>
    <t>ТЕР47-01-046-4 Пр. Минстроя России от 27.02.2015 № 140/пр</t>
  </si>
  <si>
    <t>Озеленение. Защитные лесонасаждения</t>
  </si>
  <si>
    <t>ФЕР-47</t>
  </si>
  <si>
    <t>Пр/812-041.0-1</t>
  </si>
  <si>
    <t>Пр/774-041.0</t>
  </si>
  <si>
    <t>11</t>
  </si>
  <si>
    <t>47-01-046-5</t>
  </si>
  <si>
    <t>На каждые 5 см изменения толщины слоя добавлять или исключать к расценкам с 47-01-046-01 по 47-01-046-04</t>
  </si>
  <si>
    <t>ТЕР47-01-046-5 Пр. Минстроя России от 27.02.2015 № 140/пр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</si>
  <si>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</si>
  <si>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</si>
  <si>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</si>
  <si>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</si>
  <si>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</si>
  <si>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</si>
  <si>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</si>
  <si>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</si>
  <si>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</si>
  <si>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</si>
  <si>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</si>
  <si>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</si>
  <si>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</si>
  <si>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</si>
  <si>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</si>
  <si>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</si>
  <si>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</si>
  <si>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</si>
  <si>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</si>
  <si>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</si>
  <si>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</si>
  <si>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</si>
  <si>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</si>
  <si>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</si>
  <si>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</si>
  <si>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</si>
  <si>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</si>
  <si>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</si>
  <si>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</si>
  <si>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</si>
  <si>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</si>
  <si>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</si>
  <si>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</si>
  <si>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</si>
  <si>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</si>
  <si>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</si>
  <si>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</si>
  <si>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</si>
  <si>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</si>
  <si>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</si>
  <si>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</si>
  <si>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</si>
  <si>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</si>
  <si>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</si>
  <si>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</si>
  <si>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</si>
  <si>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Перевозка</t>
  </si>
  <si>
    <t>Перевозка грузов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</si>
  <si>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</si>
  <si>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</si>
  <si>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</si>
  <si>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</si>
  <si>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</si>
  <si>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</si>
  <si>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Итог1</t>
  </si>
  <si>
    <t>Итого прямые затраты</t>
  </si>
  <si>
    <t>Итог2</t>
  </si>
  <si>
    <t>Итог3</t>
  </si>
  <si>
    <t>Итог4</t>
  </si>
  <si>
    <t>Итого</t>
  </si>
  <si>
    <t>общестр</t>
  </si>
  <si>
    <t>В том числе общестроительные работы</t>
  </si>
  <si>
    <t>монтаж</t>
  </si>
  <si>
    <t>В том числе монтажные работы</t>
  </si>
  <si>
    <t>оборудов</t>
  </si>
  <si>
    <t>В том числе оборудование</t>
  </si>
  <si>
    <t>прочее</t>
  </si>
  <si>
    <t>В том числе прочие работы</t>
  </si>
  <si>
    <t>проверка</t>
  </si>
  <si>
    <t>если это напечаталось, то что-то не так</t>
  </si>
  <si>
    <t>Монтажные работы</t>
  </si>
  <si>
    <t>12</t>
  </si>
  <si>
    <t>м08-02-142-1</t>
  </si>
  <si>
    <t>Устройство постели при одном кабеле в траншее</t>
  </si>
  <si>
    <t>100 м кабеля</t>
  </si>
  <si>
    <t>ТЕРм08-02-142-1 Пр. Минстроя России от 27.02.2015 № 140/пр</t>
  </si>
  <si>
    <t>Электротехнические установки: на других объектах</t>
  </si>
  <si>
    <t>мФЕР-08</t>
  </si>
  <si>
    <t>Пр/812-049.3-1</t>
  </si>
  <si>
    <t>Пр/774-049.3</t>
  </si>
  <si>
    <t>13</t>
  </si>
  <si>
    <t>м08-02-142-2</t>
  </si>
  <si>
    <t>На каждый последующий кабель добавлять к расценке 08-02-142-01</t>
  </si>
  <si>
    <t>ТЕРм08-02-142-2 Пр. Минстроя России от 27.02.2015 № 140/пр</t>
  </si>
  <si>
    <t>14</t>
  </si>
  <si>
    <t>м08-02-143-1</t>
  </si>
  <si>
    <t>Покрытие кабеля, проложенного в траншее кирпичом одного кабеля</t>
  </si>
  <si>
    <t>ТЕРм08-02-143-1 Пр. Минстроя России от 27.02.2015 № 140/пр</t>
  </si>
  <si>
    <t>15</t>
  </si>
  <si>
    <t>м08-02-143-2</t>
  </si>
  <si>
    <t>Покрытие кабеля, проложенного в траншее кирпичом каждого последующего</t>
  </si>
  <si>
    <t>ТЕРм08-02-143-2 Пр. Минстроя России от 27.02.2015 № 140/пр</t>
  </si>
  <si>
    <t>16</t>
  </si>
  <si>
    <t>м08-02-141-4</t>
  </si>
  <si>
    <t>Кабель до 35 кВ в готовых траншеях без покрытий, масса 1 м до 6 кг</t>
  </si>
  <si>
    <t>ТЕРм08-02-141-4 Пр. Минстроя России от 27.02.2015 № 140/пр</t>
  </si>
  <si>
    <t>17</t>
  </si>
  <si>
    <t>м08-02-148-4</t>
  </si>
  <si>
    <t>Кабель до 35 кВ в проложенных трубах, блоках и коробах, масса 1 м кабеля до 6 кг ( в т.ч ГНБ-2*56 м)</t>
  </si>
  <si>
    <t>ТЕРм08-02-148-4 Пр. Минстроя России от 27.02.2015 № 140/пр</t>
  </si>
  <si>
    <t>18</t>
  </si>
  <si>
    <t>м08-02-147-13</t>
  </si>
  <si>
    <t>Кабель до 35 кВ по установленным конструкциям и лоткам с креплением по всей длине, масса 1 м кабеля до 6 кг</t>
  </si>
  <si>
    <t>ТЕРм08-02-147-13 Пр. Минстроя России от 27.02.2015 № 140/пр</t>
  </si>
  <si>
    <t>*1,35</t>
  </si>
  <si>
    <t>19</t>
  </si>
  <si>
    <t>м08-02-145-4</t>
  </si>
  <si>
    <t>Кабель до 35 кВ, прокладываемый по дну канала без креплений, масса 1 м кабеля до 6 кг</t>
  </si>
  <si>
    <t>ТЕРм08-02-145-4 Пр. Минстроя России от 27.02.2015 № 140/пр</t>
  </si>
  <si>
    <t>20</t>
  </si>
  <si>
    <t>м08-02-157-1</t>
  </si>
  <si>
    <t>Снятие с кабеля верхнего джутового покрова, масса 1 м кабеля до 9 кг</t>
  </si>
  <si>
    <t>ТЕРм08-02-157-1 Пр. Минстроя России от 27.02.2015 № 140/пр</t>
  </si>
  <si>
    <t>21</t>
  </si>
  <si>
    <t>м08-02-165-3</t>
  </si>
  <si>
    <t>Муфта концевая эпоксидная для 3-жильного кабеля напряжением 1 кВ, сечение одной жилы до 185 мм2</t>
  </si>
  <si>
    <t>1  ШТ.</t>
  </si>
  <si>
    <t>ТЕРм08-02-165-3 Пр. Минстроя России от 27.02.2015 № 140/пр</t>
  </si>
  <si>
    <t>22</t>
  </si>
  <si>
    <t>м08-02-144-6</t>
  </si>
  <si>
    <t>Присоединение к зажимам жил проводов или кабелей сечением до 150 мм2</t>
  </si>
  <si>
    <t>100 шт.</t>
  </si>
  <si>
    <t>ТЕРм08-02-144-6 Пр. Минстроя России от 27.02.2015 № 140/пр</t>
  </si>
  <si>
    <t>23</t>
  </si>
  <si>
    <t>м08-02-166-11</t>
  </si>
  <si>
    <t>Муфта соединительная свинцовая с защитным кожухом для кабеля напряжением до 10 кВ без заливки кожуха массой, сечение жил до 185 мм2</t>
  </si>
  <si>
    <t>ТЕРм08-02-166-11 Пр. Минстроя России от 27.02.2015 № 140/пр</t>
  </si>
  <si>
    <t>24</t>
  </si>
  <si>
    <t>м08-02-155-1</t>
  </si>
  <si>
    <t>Герметизация проходов при вводе кабелей во взрывоопасные помещения уплотнительной массой</t>
  </si>
  <si>
    <t>1 проход кабеля</t>
  </si>
  <si>
    <t>ТЕРм08-02-155-1 Пр. Минстроя России от 27.02.2015 № 140/пр</t>
  </si>
  <si>
    <t>24,1</t>
  </si>
  <si>
    <t>509-0900</t>
  </si>
  <si>
    <t>Уплотнительный состав</t>
  </si>
  <si>
    <t>кг</t>
  </si>
  <si>
    <t>ССЦ Пенз. обл.509-0900 Пр. Минстроя России от 27.02.2015 № 140/пр</t>
  </si>
  <si>
    <t>Материалы монтажные</t>
  </si>
  <si>
    <t>Материалы и конструкции ( монтажные )  по ценникам и каталогам</t>
  </si>
  <si>
    <t>ФССЦм</t>
  </si>
  <si>
    <t>25</t>
  </si>
  <si>
    <t>м08-03-523-2</t>
  </si>
  <si>
    <t>Предохранитель, устанавливаемый на изоляционном основании, на ток до 250 А</t>
  </si>
  <si>
    <t>ТЕРм08-03-523-2 Пр. Минстроя России от 27.02.2015 № 140/пр</t>
  </si>
  <si>
    <t>Переход дороги методом ГНБ (2*34м, 2*22м)</t>
  </si>
  <si>
    <t>26</t>
  </si>
  <si>
    <t>04-01-076-1</t>
  </si>
  <si>
    <t>Бурение пилотной скважины машиной горизонтального бурения прессово-шнековой с усилием продавливания 203 ТС (2000кН) фирмы SHMIDT, KRANZ-GRUPPE</t>
  </si>
  <si>
    <t>100 м бурения скважины</t>
  </si>
  <si>
    <t>ТЕР04-01-076-1 Пр. Минстроя России от 27.02.2015 № 140/пр</t>
  </si>
  <si>
    <t>Скважины</t>
  </si>
  <si>
    <t>ФЕР-04</t>
  </si>
  <si>
    <t>Пр/812-004.0-1</t>
  </si>
  <si>
    <t>Пр/774-004.0</t>
  </si>
  <si>
    <t>27</t>
  </si>
  <si>
    <t>04-01-077-9</t>
  </si>
  <si>
    <t>ТЕР04-01-077-9 Пр. Минстроя России от 27.02.2015 № 140/пр</t>
  </si>
  <si>
    <t>*0,4923</t>
  </si>
  <si>
    <t>28</t>
  </si>
  <si>
    <t>507-2857</t>
  </si>
  <si>
    <t>Труба ПЭ 100 SDR 17, наружный диаметр 160 мм (ГОСТ 18599-2001)</t>
  </si>
  <si>
    <t>10 м</t>
  </si>
  <si>
    <t>ССЦ Пенз. обл.507-2857 Пр. Минстроя России от 27.02.2015 № 140/пр</t>
  </si>
  <si>
    <t>Вскрытие и восстановление асфальта</t>
  </si>
  <si>
    <t>29</t>
  </si>
  <si>
    <t>27-03-008-4</t>
  </si>
  <si>
    <t>Разборка покрытий и оснований асфальтобетонных</t>
  </si>
  <si>
    <t>100 м3 конструкций</t>
  </si>
  <si>
    <t>ТЕР27-03-008-4 Пр. Минстроя России от 27.02.2015 № 140/пр</t>
  </si>
  <si>
    <t>Автомобильные дороги</t>
  </si>
  <si>
    <t>Демонтаж и разборка на автомобильных дорогах</t>
  </si>
  <si>
    <t>ФЕР-27</t>
  </si>
  <si>
    <t>Пр/812-021.0-1</t>
  </si>
  <si>
    <t>Пр/774-021.0</t>
  </si>
  <si>
    <t>30</t>
  </si>
  <si>
    <t>27-03-008-2</t>
  </si>
  <si>
    <t>Разборка покрытий и оснований щебеночных</t>
  </si>
  <si>
    <t>ТЕР27-03-008-2 Пр. Минстроя России от 27.02.2015 № 140/пр</t>
  </si>
  <si>
    <t>31</t>
  </si>
  <si>
    <t>т01-01-01-041</t>
  </si>
  <si>
    <t>Погрузка при автомобильных перевозках мусора строительного с погрузкой вручную</t>
  </si>
  <si>
    <t>ТЕРт01-01-01-041 Пр. Минстроя России от 27.02.2015 № 140/пр</t>
  </si>
  <si>
    <t>32</t>
  </si>
  <si>
    <t>т03-21-01-010</t>
  </si>
  <si>
    <t>Перевозка грузов I класса автомобилями-самосвалами грузоподъемностью 10 т работающих вне карьера на расстояние до 10 км</t>
  </si>
  <si>
    <t>ТЕРт03-21-01-010 Пр. Минстроя России от 27.02.2015 № 140/пр</t>
  </si>
  <si>
    <t>Перевозка строительных грузов автомобильным транспортом</t>
  </si>
  <si>
    <t>ФССЦпр , изм. 7</t>
  </si>
  <si>
    <t>01-01-013-14</t>
  </si>
  <si>
    <t>Разработка грунта с погрузкой на автомобили-самосвалы экскаваторами с ковшом вместимостью 0,5 (0,5-0,63) м3, группа грунтов 2</t>
  </si>
  <si>
    <t>ТЕР01-01-013-14 Пр. Минстроя России от 27.02.2015 № 140/пр</t>
  </si>
  <si>
    <t>01-02-027-2</t>
  </si>
  <si>
    <t>Планировка площадей механизированным способом, группа грунтов 2</t>
  </si>
  <si>
    <t>1000 м2 спланированной площади</t>
  </si>
  <si>
    <t>ТЕР01-02-027-2 Пр. Минстроя России от 27.02.2015 № 140/пр</t>
  </si>
  <si>
    <t>Земляные работы, выполняемые: по другим видам работ ( подготовительные, сопутствующие, укрепительные )</t>
  </si>
  <si>
    <t>Пр/812-001.4-1</t>
  </si>
  <si>
    <t>Пр/774-001.4</t>
  </si>
  <si>
    <t>Земляные работы, выполняемые: по другим видам работ (подготовительные, сопутствующие, укрепительные)</t>
  </si>
  <si>
    <t>01-02-001-5</t>
  </si>
  <si>
    <t>Уплотнение грунта прицепными катками на пневмоколесном ходу 25 т на первый проход по одному следу при толщине слоя 50 см</t>
  </si>
  <si>
    <t>1000 м3 уплотненного грунта</t>
  </si>
  <si>
    <t>ТЕР01-02-001-5 Пр. Минстроя России от 27.02.2015 № 140/пр</t>
  </si>
  <si>
    <t>01-02-001-11</t>
  </si>
  <si>
    <t>На каждый последующий проход по одному следу добавлять к расценке 01-02-001-05</t>
  </si>
  <si>
    <t>ТЕР01-02-001-11 Пр. Минстроя России от 27.02.2015 № 140/пр</t>
  </si>
  <si>
    <t>33</t>
  </si>
  <si>
    <t>27-04-007-1</t>
  </si>
  <si>
    <t>Устройство оснований толщиной 15 см из щебня фракции 40-70 мм при укатке каменных материалов с пределом прочности на сжатие до 68,6 МПа (700 кгс/см2) однослойных</t>
  </si>
  <si>
    <t>1000 м2 основания</t>
  </si>
  <si>
    <t>ТЕР27-04-007-1 Пр. Минстроя России от 27.02.2015 № 140/пр</t>
  </si>
  <si>
    <t>33,1</t>
  </si>
  <si>
    <t>408-0020</t>
  </si>
  <si>
    <t>Щебень из природного камня для строительных работ марка 600, фракция 40-70 мм</t>
  </si>
  <si>
    <t>м3</t>
  </si>
  <si>
    <t>ССЦ Пенз. обл.408-0020 Пр. Минстроя России от 27.02.2015 № 140/пр</t>
  </si>
  <si>
    <t>Материалы строительные</t>
  </si>
  <si>
    <t>Материалы и конструкции ( строительные ) по ценникам и каталогом</t>
  </si>
  <si>
    <t>ФССЦст</t>
  </si>
  <si>
    <t>33,2</t>
  </si>
  <si>
    <t>408-0018</t>
  </si>
  <si>
    <t>Щебень из природного камня для строительных работ марка 600, фракция 10-20 мм</t>
  </si>
  <si>
    <t>ССЦ Пенз. обл.408-0018 Пр. Минстроя России от 27.02.2015 № 140/пр</t>
  </si>
  <si>
    <t>34</t>
  </si>
  <si>
    <t>27-04-007-4</t>
  </si>
  <si>
    <t>На каждый 1 см изменения толщины слоя добавлять или исключать к расценкам 27-04-007-01, 27-04-007-02, 27-04-007-03 (13 см)</t>
  </si>
  <si>
    <t>ТЕР27-04-007-4 Пр. Минстроя России от 27.02.2015 № 140/пр</t>
  </si>
  <si>
    <t>*5</t>
  </si>
  <si>
    <t>*1,2*1,15*5</t>
  </si>
  <si>
    <t>34,1</t>
  </si>
  <si>
    <t>35</t>
  </si>
  <si>
    <t>прайс-лист</t>
  </si>
  <si>
    <t>Материалы по прайсу монтажные</t>
  </si>
  <si>
    <t>Материлы по прайсу ( монтажные )</t>
  </si>
  <si>
    <t>ПрайсМТ</t>
  </si>
  <si>
    <t>36</t>
  </si>
  <si>
    <t>27-06-026-1</t>
  </si>
  <si>
    <t>Розлив вяжущих материалов</t>
  </si>
  <si>
    <t>1 Т</t>
  </si>
  <si>
    <t>ТЕР27-06-026-1 Пр. Минстроя России от 27.02.2015 № 140/пр</t>
  </si>
  <si>
    <t>37</t>
  </si>
  <si>
    <t>Битумы нефтяные дорожные БНД-100/130</t>
  </si>
  <si>
    <t>ТН</t>
  </si>
  <si>
    <t>[35 000 / 1,2]</t>
  </si>
  <si>
    <t>0</t>
  </si>
  <si>
    <t>38</t>
  </si>
  <si>
    <t>27-03-004-1</t>
  </si>
  <si>
    <t>Устройство выравнивающего слоя из асфальтобетонной смеси с применением укладчиков асфальтобетона</t>
  </si>
  <si>
    <t>100 т смеси</t>
  </si>
  <si>
    <t>ТЕР27-03-004-1 Пр. Минстроя России от 27.02.2015 № 140/пр</t>
  </si>
  <si>
    <t>38,1</t>
  </si>
  <si>
    <t>410-0034</t>
  </si>
  <si>
    <t>Смеси асфальтобетонные дорожные, аэродромные и асфальтобетон (холодные), марка II Бх</t>
  </si>
  <si>
    <t>т</t>
  </si>
  <si>
    <t>ССЦ Пенз. обл.410-0034 Пр. Минстроя России от 27.02.2015 № 140/пр</t>
  </si>
  <si>
    <t>39</t>
  </si>
  <si>
    <t>27-06-029-1</t>
  </si>
  <si>
    <t>Устройство покрытия толщиной 4 см из горячих асфальтобетонных смесей плотных мелкозернистых типа А,Б,В, плотность каменных материалов 2,5-2,9 т/м3</t>
  </si>
  <si>
    <t>1000 м2 покрытия</t>
  </si>
  <si>
    <t>ТЕР27-06-029-1 Пр. Минстроя России от 27.02.2015 № 140/пр</t>
  </si>
  <si>
    <t>39,1</t>
  </si>
  <si>
    <t>410-0001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</si>
  <si>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А</t>
  </si>
  <si>
    <t>ССЦ Пенз. обл.410-0001 Пр. Минстроя России от 27.02.2015 № 140/пр</t>
  </si>
  <si>
    <t>40</t>
  </si>
  <si>
    <t>Асфальтобетонная смесь тип Б марка II</t>
  </si>
  <si>
    <t>Материалы</t>
  </si>
  <si>
    <t>41</t>
  </si>
  <si>
    <t>Прайс-лист</t>
  </si>
  <si>
    <t>Кабель АВБбШв 4*150</t>
  </si>
  <si>
    <t>м</t>
  </si>
  <si>
    <t>[1 613,14 / 1,2] +  5,5% Трансп +  2% Заг.скл</t>
  </si>
  <si>
    <t>5,5</t>
  </si>
  <si>
    <t>42</t>
  </si>
  <si>
    <t>408-0122</t>
  </si>
  <si>
    <t>Песок природный для строительных работ средний</t>
  </si>
  <si>
    <t>ССЦ Пенз. обл.408-0122 Пр. Минстроя России от 27.02.2015 № 140/пр</t>
  </si>
  <si>
    <t>43</t>
  </si>
  <si>
    <t>Кирпич керамический</t>
  </si>
  <si>
    <t>шт.</t>
  </si>
  <si>
    <t>1 врезка</t>
  </si>
  <si>
    <t>[24 / 1,2] +  5,5% Трансп +  2% Заг.скл</t>
  </si>
  <si>
    <t>44</t>
  </si>
  <si>
    <t>509-0808</t>
  </si>
  <si>
    <t>Заделки концевые эпоксидные</t>
  </si>
  <si>
    <t>компл.</t>
  </si>
  <si>
    <t>ССЦ Пенз. обл.509-0808 Пр. Минстроя России от 27.02.2015 № 140/пр</t>
  </si>
  <si>
    <t>45</t>
  </si>
  <si>
    <t>502-0775</t>
  </si>
  <si>
    <t>Муфта термоусаживаемая соединительная для кабеля с пропитанной бумажной изоляцией на напряжение до 1 кВ марки 4ПСТ-150/240 с болтовыми соединителями комплектом пайки для присоединения заземления</t>
  </si>
  <si>
    <t>ССЦ Пенз. обл.502-0775 Пр. Минстроя России от 27.02.2015 № 140/пр</t>
  </si>
  <si>
    <t>46</t>
  </si>
  <si>
    <t>509-2898</t>
  </si>
  <si>
    <t>Предохранители плавкие ПН2-250</t>
  </si>
  <si>
    <t>ССЦ Пенз. обл.509-2898 Пр. Минстроя России от 27.02.2015 № 140/пр</t>
  </si>
  <si>
    <t>47</t>
  </si>
  <si>
    <t>Уплотнитель кабельных проходов УКПТ-175/50 КВТ</t>
  </si>
  <si>
    <t>ШТ</t>
  </si>
  <si>
    <t>[699 / 1,2] +  5,5% Трансп +  2% Заг.скл</t>
  </si>
  <si>
    <t>Пусконаладочные работы</t>
  </si>
  <si>
    <t>48</t>
  </si>
  <si>
    <t>п01-11-024-1</t>
  </si>
  <si>
    <t>Фазировка электрической линии или трансформатора с сетью напряжением до 1 кВ</t>
  </si>
  <si>
    <t>1 фазировка</t>
  </si>
  <si>
    <t>ТЕРп01-11-024-1 Пр. Минстроя России от 27.02.2015 № 140/пр</t>
  </si>
  <si>
    <t>*1,2</t>
  </si>
  <si>
    <t>Пусконаладочные работы (Если АЭС=1, то Пусконаладочные работы технологического оборудования АЭС)</t>
  </si>
  <si>
    <t>ФЕРп</t>
  </si>
  <si>
    <t>Пр/812-084.0-1</t>
  </si>
  <si>
    <t>Пр/774-084.0</t>
  </si>
  <si>
    <t>49</t>
  </si>
  <si>
    <t>п01-11-028-1</t>
  </si>
  <si>
    <t>Измерение сопротивления изоляции мегаомметром кабельных и других линий напряжением до 1 кВ, предназначенных для передачи электроэнергии к распределительным устройствам, щитам, шкафам, коммутационным аппаратам и электропотребителям</t>
  </si>
  <si>
    <t>1 линия</t>
  </si>
  <si>
    <t>ТЕРп01-11-028-1 Пр. Минстроя России от 27.02.2015 № 140/пр</t>
  </si>
  <si>
    <t>Электротехнические устройства</t>
  </si>
  <si>
    <t>Мет. 421/пр. 04.08.20. пр. 8; п.1</t>
  </si>
  <si>
    <t>СТР_РЕК</t>
  </si>
  <si>
    <t>СТРОИТЕЛЬСТВО и РЕКОНСТРУКЦИЯ  зданий и сооружений всех назначений</t>
  </si>
  <si>
    <t>Строительство и реконструкция</t>
  </si>
  <si>
    <t>РЕМ_ЖИЛ</t>
  </si>
  <si>
    <t>КАП. РЕМ. ЖИЛЫХ И ОБЩЕСТВЕННЫХ ЗДАНИЙ</t>
  </si>
  <si>
    <t>Капитальный ремонт жилых и общественных зданий</t>
  </si>
  <si>
    <t>РЕМ_ПР</t>
  </si>
  <si>
    <t>КАП. РЕМ. ПРОИЗВОДСТВЕННЫХ ЗД. и СООРУЖЕНИЙ,  НАРУЖНЫХ ИНЖЕНЕРНЫХ СЕТЕЙ, УЛИЦ И ДОРОГ МЕСТНОГО ЗНАЧЕНИЯ, ИНЖ,СООРУЖЕНИЙ ( ГИДРОТЕХ,СООРУЖ, МОСТОВ И ПУТЕПРОВОДОВ И Т.П.)</t>
  </si>
  <si>
    <t>Капитальный ремонт прозводственных зданий</t>
  </si>
  <si>
    <t>Территория</t>
  </si>
  <si>
    <t>для территории Российской Федерации, не относящейся к районам Крайнего Севера и приравненным к ним местностям</t>
  </si>
  <si>
    <t>МПРКС</t>
  </si>
  <si>
    <t>для территории Российской Федерации, относящейся к местностям, приравненным к районам Крайнего Севера</t>
  </si>
  <si>
    <t>РКС</t>
  </si>
  <si>
    <t>для территории Российской Федерации, относящейся к районам Крайнего Севера</t>
  </si>
  <si>
    <t>СЛЖ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</si>
  <si>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За исключением АЭС.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</si>
  <si>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</si>
  <si>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Сложные объекты</t>
  </si>
  <si>
    <t>АЭС</t>
  </si>
  <si>
    <t>При определении сметной стоимости строительства объектов капитального строительства АЭС.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</si>
  <si>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</si>
  <si>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ОПТ/В</t>
  </si>
  <si>
    <t>{вкл}    - Прокладка  МЕЖДУГОРОДНЫХ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</si>
  <si>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</si>
  <si>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Прокладка междугородных в/опт. кабелей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</si>
  <si>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</si>
  <si>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</si>
  <si>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</si>
  <si>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Диспетчеризация авитранспорта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</si>
  <si>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</si>
  <si>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</si>
  <si>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</si>
  <si>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Производство работ закрытым способом (обслуживающие процессы)</t>
  </si>
  <si>
    <t>ГОР</t>
  </si>
  <si>
    <t>(вкл) - ФЕРм-08, выполнение работ на горнорудных объектах  (выкл) - ФЕРм-08, выполнение работ на других объектах</t>
  </si>
  <si>
    <t>Выполнение работ на горнорудных объектах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</si>
  <si>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</si>
  <si>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</si>
  <si>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</si>
  <si>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п.25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</si>
  <si>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</si>
  <si>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</si>
  <si>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</si>
  <si>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п.16</t>
  </si>
  <si>
    <t>К_НР_СЛЖ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</si>
  <si>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За исключением объектов атомных электрических станций.  ( если {СЛЖ} = [вкл] )</t>
  </si>
  <si>
    <t>п.27 СЛОЖН</t>
  </si>
  <si>
    <t>К_НР_АЭС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</si>
  <si>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Для объектов атомных электрических станций.  ( если {АЭС} = [вкл] )</t>
  </si>
  <si>
    <t>п.27 АЭС</t>
  </si>
  <si>
    <t>Р_ОКР</t>
  </si>
  <si>
    <t>Разрядность округления результата расчета НР и СП  (с 05.04.2020 - до семи знаков после запятой)</t>
  </si>
  <si>
    <t>Лист_НРиСП</t>
  </si>
  <si>
    <t>Уровень цен</t>
  </si>
  <si>
    <t>Индексы за итогом</t>
  </si>
  <si>
    <t>_OBSM_</t>
  </si>
  <si>
    <t>1-1020-58</t>
  </si>
  <si>
    <t>Затраты труда рабочих (средний разряд 2,0)</t>
  </si>
  <si>
    <t>чел.-ч.</t>
  </si>
  <si>
    <t>Затраты труда машинистов</t>
  </si>
  <si>
    <t>чел.час</t>
  </si>
  <si>
    <t>1-1015-58</t>
  </si>
  <si>
    <t>Затраты труда рабочих (средний разряд 1,5)</t>
  </si>
  <si>
    <t>060337</t>
  </si>
  <si>
    <t>ЦЭМ Пенз. обл.060337 Пр. Минстроя России от 27.02.2015 № 140/пр</t>
  </si>
  <si>
    <t>Экскаваторы одноковшовые дизельные на пневмоколесном ходу при работе на других видах строительства 0,25 м3</t>
  </si>
  <si>
    <t>маш.-ч</t>
  </si>
  <si>
    <t>070148</t>
  </si>
  <si>
    <t>ЦЭМ Пенз. обл.070148 Пр. Минстроя России от 27.02.2015 № 140/пр</t>
  </si>
  <si>
    <t>Бульдозеры при работе на других видах строительства 59 кВт (80 л.с.)</t>
  </si>
  <si>
    <t>060248</t>
  </si>
  <si>
    <t>ЦЭМ Пенз. обл.060248 Пр. Минстроя России от 27.02.2015 № 140/пр</t>
  </si>
  <si>
    <t>Экскаваторы одноковшовые дизельные на гусеничном ходу при работе на других видах строительства 0,65 м3</t>
  </si>
  <si>
    <t>1-1036-58</t>
  </si>
  <si>
    <t>Затраты труда рабочих (средний разряд 3,6)</t>
  </si>
  <si>
    <t>021141</t>
  </si>
  <si>
    <t>ЦЭМ Пенз. обл.021141 Пр. Минстроя России от 27.02.2015 № 140/пр</t>
  </si>
  <si>
    <t>Краны на автомобильном ходу при работе на других видах строительства 10 т</t>
  </si>
  <si>
    <t>040102</t>
  </si>
  <si>
    <t>ЦЭМ Пенз. обл.040102 Пр. Минстроя России от 27.02.2015 № 140/пр</t>
  </si>
  <si>
    <t>Электростанции передвижные 4 кВт</t>
  </si>
  <si>
    <t>042901</t>
  </si>
  <si>
    <t>ЦЭМ Пенз. обл.042901 Пр. Минстроя России от 27.02.2015 № 140/пр</t>
  </si>
  <si>
    <t>Установки для гидравлических испытаний трубопроводов, давление нагнетания низкое 0,1 МПа (1 кгс/см2), высокое 10 МПа (100 кгс/см2) при работе от передвижных электростанций</t>
  </si>
  <si>
    <t>081600</t>
  </si>
  <si>
    <t>ЦЭМ Пенз. обл.081600 Пр. Минстроя России от 27.02.2015 № 140/пр</t>
  </si>
  <si>
    <t>Агрегаты для сварки полиэтиленовых труб</t>
  </si>
  <si>
    <t>400001</t>
  </si>
  <si>
    <t>ЦЭМ Пенз. обл.400001 Пр. Минстроя России от 27.02.2015 № 140/пр</t>
  </si>
  <si>
    <t>Автомобили бортовые, грузоподъемность до 5 т</t>
  </si>
  <si>
    <t>101-1742</t>
  </si>
  <si>
    <t>ССЦ Пенз. обл.101-1742 Пр. Минстроя России от 27.02.2015 № 140/пр</t>
  </si>
  <si>
    <t>Толь с крупнозернистой посыпкой гидроизоляционный марки ТГ-350</t>
  </si>
  <si>
    <t>м2</t>
  </si>
  <si>
    <t>411-0001</t>
  </si>
  <si>
    <t>ССЦ Пенз. обл.411-0001 Пр. Минстроя России от 27.02.2015 № 140/пр</t>
  </si>
  <si>
    <t>Вода</t>
  </si>
  <si>
    <t>507-0598</t>
  </si>
  <si>
    <t>ССЦ Пенз. обл.507-0598 Пр. Минстроя России от 27.02.2015 № 140/пр</t>
  </si>
  <si>
    <t>Трубы напорные из полиэтилена низкого давления среднего типа, наружным диаметром 160 мм</t>
  </si>
  <si>
    <t>1-1022-58</t>
  </si>
  <si>
    <t>Затраты труда рабочих (средний разряд 2,2)</t>
  </si>
  <si>
    <t>407-0013</t>
  </si>
  <si>
    <t>ССЦ Пенз. обл.407-0013 Пр. Минстроя России от 27.02.2015 № 140/пр</t>
  </si>
  <si>
    <t>Земля растительная механизированной заготовки</t>
  </si>
  <si>
    <t>1-1040-58</t>
  </si>
  <si>
    <t>Затраты труда рабочих (средний разряд 4,0)</t>
  </si>
  <si>
    <t>999-9950</t>
  </si>
  <si>
    <t>ССЦ Пенз. обл.999-9950 Пр. Минстроя России от 27.02.2015 № 140/пр</t>
  </si>
  <si>
    <t>Вспомогательные ненормируемые материалы (2% от ОЗП)</t>
  </si>
  <si>
    <t>РУБ</t>
  </si>
  <si>
    <t>021102</t>
  </si>
  <si>
    <t>ЦЭМ Пенз. обл.021102 Пр. Минстроя России от 27.02.2015 № 140/пр</t>
  </si>
  <si>
    <t>Краны на автомобильном ходу при работе на монтаже технологического оборудования 10 т</t>
  </si>
  <si>
    <t>030203</t>
  </si>
  <si>
    <t>ЦЭМ Пенз. обл.030203 Пр. Минстроя России от 27.02.2015 № 140/пр</t>
  </si>
  <si>
    <t>Домкраты гидравлические грузоподъемностью 63-100 т</t>
  </si>
  <si>
    <t>030404</t>
  </si>
  <si>
    <t>ЦЭМ Пенз. обл.030404 Пр. Минстроя России от 27.02.2015 № 140/пр</t>
  </si>
  <si>
    <t>Лебедки электрические тяговым усилием до 31,39 кН (3,2 т)</t>
  </si>
  <si>
    <t>101-1641</t>
  </si>
  <si>
    <t>ССЦ Пенз. обл.101-1641 Пр. Минстроя России от 27.02.2015 № 140/пр</t>
  </si>
  <si>
    <t>Сталь угловая равнополочная, марка стали ВСт3кп2, размером 50x50x5 мм</t>
  </si>
  <si>
    <t>101-1755</t>
  </si>
  <si>
    <t>ССЦ Пенз. обл.101-1755 Пр. Минстроя России от 27.02.2015 № 140/пр</t>
  </si>
  <si>
    <t>Сталь полосовая, марка стали Ст3сп шириной 50-200 мм толщиной 4-5 мм</t>
  </si>
  <si>
    <t>101-2143</t>
  </si>
  <si>
    <t>ССЦ Пенз. обл.101-2143 Пр. Минстроя России от 27.02.2015 № 140/пр</t>
  </si>
  <si>
    <t>Краска</t>
  </si>
  <si>
    <t>101-2478</t>
  </si>
  <si>
    <t>ССЦ Пенз. обл.101-2478 Пр. Минстроя России от 27.02.2015 № 140/пр</t>
  </si>
  <si>
    <t>Лента К226</t>
  </si>
  <si>
    <t>100 м</t>
  </si>
  <si>
    <t>113-1786</t>
  </si>
  <si>
    <t>ССЦ Пенз. обл.113-1786 Пр. Минстроя России от 27.02.2015 № 140/пр</t>
  </si>
  <si>
    <t>Лак битумный БТ-123</t>
  </si>
  <si>
    <t>506-1362</t>
  </si>
  <si>
    <t>ССЦ Пенз. обл.506-1362 Пр. Минстроя России от 27.02.2015 № 140/пр</t>
  </si>
  <si>
    <t>Припои оловянно-свинцовые бессурьмянистые марки ПОС30</t>
  </si>
  <si>
    <t>101-1481</t>
  </si>
  <si>
    <t>ССЦ Пенз. обл.101-1481 Пр. Минстроя России от 27.02.2015 № 140/пр</t>
  </si>
  <si>
    <t>Шурупы с полукруглой головкой 4x40 мм</t>
  </si>
  <si>
    <t>031050</t>
  </si>
  <si>
    <t>ЦЭМ Пенз. обл.031050 Пр. Минстроя России от 27.02.2015 № 140/пр</t>
  </si>
  <si>
    <t>Вышка телескопическая 25 м</t>
  </si>
  <si>
    <t>101-0069</t>
  </si>
  <si>
    <t>ССЦ Пенз. обл.101-0069 Пр. Минстроя России от 27.02.2015 № 140/пр</t>
  </si>
  <si>
    <t>Бензин авиационный Б-70</t>
  </si>
  <si>
    <t>509-1206</t>
  </si>
  <si>
    <t>ССЦ Пенз. обл.509-1206 Пр. Минстроя России от 27.02.2015 № 140/пр</t>
  </si>
  <si>
    <t>Парафины нефтяные твердые марки Т-1</t>
  </si>
  <si>
    <t>101-2278</t>
  </si>
  <si>
    <t>ССЦ Пенз. обл.101-2278 Пр. Минстроя России от 27.02.2015 № 140/пр</t>
  </si>
  <si>
    <t>Пропан-бутан, смесь техническая</t>
  </si>
  <si>
    <t>101-1705</t>
  </si>
  <si>
    <t>ССЦ Пенз. обл.101-1705 Пр. Минстроя России от 27.02.2015 № 140/пр</t>
  </si>
  <si>
    <t>Пакля пропитанная</t>
  </si>
  <si>
    <t>509-0988</t>
  </si>
  <si>
    <t>ССЦ Пенз. обл.509-0988 Пр. Минстроя России от 27.02.2015 № 140/пр</t>
  </si>
  <si>
    <t>Шнур асбестовый общего назначения марки ШАОН диаметром 3-5 мм</t>
  </si>
  <si>
    <t>1-1048-58</t>
  </si>
  <si>
    <t>Затраты труда рабочих (средний разряд 4,8)</t>
  </si>
  <si>
    <t>330206</t>
  </si>
  <si>
    <t>ЦЭМ Пенз. обл.330206 Пр. Минстроя России от 27.02.2015 № 140/пр</t>
  </si>
  <si>
    <t>Дрели электрические</t>
  </si>
  <si>
    <t>350451</t>
  </si>
  <si>
    <t>ЦЭМ Пенз. обл.350451 Пр. Минстроя России от 27.02.2015 № 140/пр</t>
  </si>
  <si>
    <t>Пресс гидравлический с электроприводом</t>
  </si>
  <si>
    <t>101-1665</t>
  </si>
  <si>
    <t>ССЦ Пенз. обл.101-1665 Пр. Минстроя России от 27.02.2015 № 140/пр</t>
  </si>
  <si>
    <t>Лак электроизоляционный 318</t>
  </si>
  <si>
    <t>101-1964</t>
  </si>
  <si>
    <t>ССЦ Пенз. обл.101-1964 Пр. Минстроя России от 27.02.2015 № 140/пр</t>
  </si>
  <si>
    <t>Шпагат бумажный</t>
  </si>
  <si>
    <t>101-1977</t>
  </si>
  <si>
    <t>ССЦ Пенз. обл.101-1977 Пр. Минстроя России от 27.02.2015 № 140/пр</t>
  </si>
  <si>
    <t>Болты с гайками и шайбами строительные</t>
  </si>
  <si>
    <t>101-2365</t>
  </si>
  <si>
    <t>ССЦ Пенз. обл.101-2365 Пр. Минстроя России от 27.02.2015 № 140/пр</t>
  </si>
  <si>
    <t>Нитки швейные</t>
  </si>
  <si>
    <t>101-2499</t>
  </si>
  <si>
    <t>ССЦ Пенз. обл.101-2499 Пр. Минстроя России от 27.02.2015 № 140/пр</t>
  </si>
  <si>
    <t>Лента изоляционная прорезиненная односторонняя ширина 20 мм, толщина 0,25-0,35 мм</t>
  </si>
  <si>
    <t>509-1210</t>
  </si>
  <si>
    <t>ССЦ Пенз. обл.509-1210 Пр. Минстроя России от 27.02.2015 № 140/пр</t>
  </si>
  <si>
    <t>Вазелин технический</t>
  </si>
  <si>
    <t>1-1045-58</t>
  </si>
  <si>
    <t>Затраты труда рабочих (средний разряд 4,5)</t>
  </si>
  <si>
    <t>021143</t>
  </si>
  <si>
    <t>ЦЭМ Пенз. обл.021143 Пр. Минстроя России от 27.02.2015 № 140/пр</t>
  </si>
  <si>
    <t>Краны на автомобильном ходу при работе на других видах строительства 16 т</t>
  </si>
  <si>
    <t>031901</t>
  </si>
  <si>
    <t>ЦЭМ Пенз. обл.031901 Пр. Минстроя России от 27.02.2015 № 140/пр</t>
  </si>
  <si>
    <t>Тали ручные рычажные</t>
  </si>
  <si>
    <t>121601</t>
  </si>
  <si>
    <t>ЦЭМ Пенз. обл.121601 Пр. Минстроя России от 27.02.2015 № 140/пр</t>
  </si>
  <si>
    <t>Машины поливомоечные 6000 л</t>
  </si>
  <si>
    <t>253901</t>
  </si>
  <si>
    <t>ЦЭМ Пенз. обл.253901 Пр. Минстроя России от 27.02.2015 № 140/пр</t>
  </si>
  <si>
    <t>Машины горизонтального бурения прессово-шнековые с тяговым усилием 203 тс (2000 кН) фирмы SCHIDT, KRANZ-GRUPPE</t>
  </si>
  <si>
    <t>1-1043-58</t>
  </si>
  <si>
    <t>Затраты труда рабочих (средний разряд 4,3)</t>
  </si>
  <si>
    <t>040202</t>
  </si>
  <si>
    <t>ЦЭМ Пенз. обл.040202 Пр. Минстроя России от 27.02.2015 № 140/пр</t>
  </si>
  <si>
    <t>Агрегаты сварочные передвижные с номинальным сварочным током 250-400 А с дизельным двигателем</t>
  </si>
  <si>
    <t>040504</t>
  </si>
  <si>
    <t>ЦЭМ Пенз. обл.040504 Пр. Минстроя России от 27.02.2015 № 140/пр</t>
  </si>
  <si>
    <t>Аппарат для газовой сварки и резки</t>
  </si>
  <si>
    <t>060338</t>
  </si>
  <si>
    <t>ЦЭМ Пенз. обл.060338 Пр. Минстроя России от 27.02.2015 № 140/пр</t>
  </si>
  <si>
    <t>Экскаваторы одноковшовые дизельные на пневмоколесном ходу при работе на других видах строительства 0,4 м3</t>
  </si>
  <si>
    <t>400051</t>
  </si>
  <si>
    <t>ЦЭМ Пенз. обл.400051 Пр. Минстроя России от 27.02.2015 № 140/пр</t>
  </si>
  <si>
    <t>Автомобиль-самосвал, грузоподъемность до 7 т</t>
  </si>
  <si>
    <t>101-0324</t>
  </si>
  <si>
    <t>ССЦ Пенз. обл.101-0324 Пр. Минстроя России от 27.02.2015 № 140/пр</t>
  </si>
  <si>
    <t>Кислород технический газообразный</t>
  </si>
  <si>
    <t>101-1518</t>
  </si>
  <si>
    <t>ССЦ Пенз. обл.101-1518 Пр. Минстроя России от 27.02.2015 № 140/пр</t>
  </si>
  <si>
    <t>Электроды диаметром 4 мм Э50А</t>
  </si>
  <si>
    <t>101-1602</t>
  </si>
  <si>
    <t>ССЦ Пенз. обл.101-1602 Пр. Минстроя России от 27.02.2015 № 140/пр</t>
  </si>
  <si>
    <t>Ацетилен газообразный технический</t>
  </si>
  <si>
    <t>1-1027-58</t>
  </si>
  <si>
    <t>Затраты труда рабочих (средний разряд 2,7)</t>
  </si>
  <si>
    <t>050101</t>
  </si>
  <si>
    <t>ЦЭМ Пенз. обл.050101 Пр. Минстроя России от 27.02.2015 № 140/пр</t>
  </si>
  <si>
    <t>Компрессоры передвижные с двигателем внутреннего сгорания давлением до 686 кПа (7 ат), производительность  до 5 м3/мин</t>
  </si>
  <si>
    <t>120202</t>
  </si>
  <si>
    <t>ЦЭМ Пенз. обл.120202 Пр. Минстроя России от 27.02.2015 № 140/пр</t>
  </si>
  <si>
    <t>Автогрейдеры среднего типа 99 кВт (135 л.с.)</t>
  </si>
  <si>
    <t>330804</t>
  </si>
  <si>
    <t>ЦЭМ Пенз. обл.330804 Пр. Минстроя России от 27.02.2015 № 140/пр</t>
  </si>
  <si>
    <t>Молотки при работе от передвижных компрессорных станций отбойные пневматические</t>
  </si>
  <si>
    <t>010311</t>
  </si>
  <si>
    <t>ЦЭМ Пенз. обл.010311 Пр. Минстроя России от 27.02.2015 № 140/пр</t>
  </si>
  <si>
    <t>Тракторы на гусеничном ходу при работе на других видах строительства 59 кВт (80 л.с.)</t>
  </si>
  <si>
    <t>091400</t>
  </si>
  <si>
    <t>ЦЭМ Пенз. обл.091400 Пр. Минстроя России от 27.02.2015 № 140/пр</t>
  </si>
  <si>
    <t>Рыхлители прицепные (без трактора)</t>
  </si>
  <si>
    <t>1-1010-58</t>
  </si>
  <si>
    <t>Затраты труда рабочих (средний разряд 1,0)</t>
  </si>
  <si>
    <t>чел.ч</t>
  </si>
  <si>
    <t>ЧЕЛ.Ч</t>
  </si>
  <si>
    <t>060247</t>
  </si>
  <si>
    <t>ЦЭМ Пенз. обл.060247 Пр. Минстроя России от 27.02.2015 № 140/пр</t>
  </si>
  <si>
    <t>Экскаваторы одноковшовые дизельные на гусеничном ходу при работе на других видах строительства 0,5 м3</t>
  </si>
  <si>
    <t>070149</t>
  </si>
  <si>
    <t>ЦЭМ Пенз. обл.070149 Пр. Минстроя России от 27.02.2015 № 140/пр</t>
  </si>
  <si>
    <t>Бульдозеры при работе на других видах строительства 79 кВт (108 л.с.)</t>
  </si>
  <si>
    <t>408-0015</t>
  </si>
  <si>
    <t>ССЦ Пенз. обл.408-0015 Пр. Минстроя России от 27.02.2015 № 140/пр</t>
  </si>
  <si>
    <t>Щебень из природного камня для строительных работ марка 800, фракция 20-40 мм</t>
  </si>
  <si>
    <t>010312</t>
  </si>
  <si>
    <t>ЦЭМ Пенз. обл.010312 Пр. Минстроя России от 27.02.2015 № 140/пр</t>
  </si>
  <si>
    <t>Тракторы на гусеничном ходу при работе на других видах строительства 79 кВт (108 л.с.)</t>
  </si>
  <si>
    <t>120711</t>
  </si>
  <si>
    <t>ЦЭМ Пенз. обл.120711 Пр. Минстроя России от 27.02.2015 № 140/пр</t>
  </si>
  <si>
    <t>Катки дорожные прицепные на пневмоколесном ходу 25 т</t>
  </si>
  <si>
    <t>1-1025-58</t>
  </si>
  <si>
    <t>Затраты труда рабочих (средний разряд 2,5)</t>
  </si>
  <si>
    <t>030101</t>
  </si>
  <si>
    <t>ЦЭМ Пенз. обл.030101 Пр. Минстроя России от 27.02.2015 № 140/пр</t>
  </si>
  <si>
    <t>Автопогрузчики 5 т</t>
  </si>
  <si>
    <t>120906</t>
  </si>
  <si>
    <t>ЦЭМ Пенз. обл.120906 Пр. Минстроя России от 27.02.2015 № 140/пр</t>
  </si>
  <si>
    <t>Катки дорожные самоходные гладкие 8 т</t>
  </si>
  <si>
    <t>120907</t>
  </si>
  <si>
    <t>ЦЭМ Пенз. обл.120907 Пр. Минстроя России от 27.02.2015 № 140/пр</t>
  </si>
  <si>
    <t>Катки дорожные самоходные гладкие 13 т</t>
  </si>
  <si>
    <t>121803</t>
  </si>
  <si>
    <t>ЦЭМ Пенз. обл.121803 Пр. Минстроя России от 27.02.2015 № 140/пр</t>
  </si>
  <si>
    <t>Распределители каменной мелочи</t>
  </si>
  <si>
    <t>120101</t>
  </si>
  <si>
    <t>ЦЭМ Пенз. обл.120101 Пр. Минстроя России от 27.02.2015 № 140/пр</t>
  </si>
  <si>
    <t>Автогудронаторы 3500 л</t>
  </si>
  <si>
    <t>101-1561</t>
  </si>
  <si>
    <t>ССЦ Пенз. обл.101-1561 Пр. Минстроя России от 27.02.2015 № 140/пр</t>
  </si>
  <si>
    <t>Битумы нефтяные дорожные жидкие, класс МГ, СГ</t>
  </si>
  <si>
    <t>1-1041-58</t>
  </si>
  <si>
    <t>Затраты труда рабочих (средний разряд 4,1)</t>
  </si>
  <si>
    <t>122000</t>
  </si>
  <si>
    <t>ЦЭМ Пенз. обл.122000 Пр. Минстроя России от 27.02.2015 № 140/пр</t>
  </si>
  <si>
    <t>Укладчики асфальтобетона</t>
  </si>
  <si>
    <t>101-0322</t>
  </si>
  <si>
    <t>ССЦ Пенз. обл.101-0322 Пр. Минстроя России от 27.02.2015 № 140/пр</t>
  </si>
  <si>
    <t>Керосин для технических целей марок КТ-1, КТ-2</t>
  </si>
  <si>
    <t>1-1032-58</t>
  </si>
  <si>
    <t>Затраты труда рабочих (средний разряд 3,2)</t>
  </si>
  <si>
    <t>030301</t>
  </si>
  <si>
    <t>ЦЭМ Пенз. обл.030301 Пр. Минстроя России от 27.02.2015 № 140/пр</t>
  </si>
  <si>
    <t>Лебедки ручные и рычажные тяговым усилием до 9,81 кН (1 т)</t>
  </si>
  <si>
    <t>120909</t>
  </si>
  <si>
    <t>ЦЭМ Пенз. обл.120909 Пр. Минстроя России от 27.02.2015 № 140/пр</t>
  </si>
  <si>
    <t>Каток самоходный ДУ-84, гладковальцевый, 14 т</t>
  </si>
  <si>
    <t>121231</t>
  </si>
  <si>
    <t>ЦЭМ Пенз. обл.121231 Пр. Минстроя России от 27.02.2015 № 140/пр</t>
  </si>
  <si>
    <t>Перегружатель асфальтовой смеси, емкость бункера до 25 т</t>
  </si>
  <si>
    <t>381202</t>
  </si>
  <si>
    <t>ЦЭМ Пенз. обл.381202 Пр. Минстроя России от 27.02.2015 № 140/пр</t>
  </si>
  <si>
    <t>Асфальтоукладчик гусеничный типа ABG Titan 325 с шириной укладки от 2 до 5 м</t>
  </si>
  <si>
    <t>381204</t>
  </si>
  <si>
    <t>ЦЭМ Пенз. обл.381204 Пр. Минстроя России от 27.02.2015 № 140/пр</t>
  </si>
  <si>
    <t>Разогреватель швов ABACUS</t>
  </si>
  <si>
    <t>381205</t>
  </si>
  <si>
    <t>ЦЭМ Пенз. обл.381205 Пр. Минстроя России от 27.02.2015 № 140/пр</t>
  </si>
  <si>
    <t>Каток самоходный ABG DD 74 гладковальцевый, 7т</t>
  </si>
  <si>
    <t>381206</t>
  </si>
  <si>
    <t>ЦЭМ Пенз. обл.381206 Пр. Минстроя России от 27.02.2015 № 140/пр</t>
  </si>
  <si>
    <t>Каток самоходный BW-20R, тандемный на пневмоколесном ходу, 12т</t>
  </si>
  <si>
    <t>381207</t>
  </si>
  <si>
    <t>ЦЭМ Пенз. обл.381207 Пр. Минстроя России от 27.02.2015 № 140/пр</t>
  </si>
  <si>
    <t>Каток самоходный ABG DD 90, тандемный гладковальцевый, 10т</t>
  </si>
  <si>
    <t>391751</t>
  </si>
  <si>
    <t>ЦЭМ Пенз. обл.391751 Пр. Минстроя России от 27.02.2015 № 140/пр</t>
  </si>
  <si>
    <t>Компрессоры передвижные, давление 2,0 МПа, производительность 60 м3/мин</t>
  </si>
  <si>
    <t>393010</t>
  </si>
  <si>
    <t>ЦЭМ Пенз. обл.393010 Пр. Минстроя России от 27.02.2015 № 140/пр</t>
  </si>
  <si>
    <t>Нарезчик швов FS-520</t>
  </si>
  <si>
    <t>400302</t>
  </si>
  <si>
    <t>ЦЭМ Пенз. обл.400302 Пр. Минстроя России от 27.02.2015 № 140/пр</t>
  </si>
  <si>
    <t>Спецавтомашины типа УАЗ</t>
  </si>
  <si>
    <t>101-0782</t>
  </si>
  <si>
    <t>ССЦ Пенз. обл.101-0782 Пр. Минстроя России от 27.02.2015 № 140/пр</t>
  </si>
  <si>
    <t>Поковки из квадратных заготовок, масса 1,8 кг</t>
  </si>
  <si>
    <t>101-1659</t>
  </si>
  <si>
    <t>ССЦ Пенз. обл.101-1659 Пр. Минстроя России от 27.02.2015 № 140/пр</t>
  </si>
  <si>
    <t>Диск алмазный для твердых материалов, диаметр 350 мм</t>
  </si>
  <si>
    <t>101-1682</t>
  </si>
  <si>
    <t>ССЦ Пенз. обл.101-1682 Пр. Минстроя России от 27.02.2015 № 140/пр</t>
  </si>
  <si>
    <t>Шнур полиамидный крученый, диаметром 2 мм</t>
  </si>
  <si>
    <t>101-1797</t>
  </si>
  <si>
    <t>ССЦ Пенз. обл.101-1797 Пр. Минстроя России от 27.02.2015 № 140/пр</t>
  </si>
  <si>
    <t>Эмульсия битумно-дорожная</t>
  </si>
  <si>
    <t>101-1929</t>
  </si>
  <si>
    <t>ССЦ Пенз. обл.101-1929 Пр. Минстроя России от 27.02.2015 № 140/пр</t>
  </si>
  <si>
    <t>Болты анкерные</t>
  </si>
  <si>
    <t>204-0007</t>
  </si>
  <si>
    <t>ССЦ Пенз. обл.204-0007 Пр. Минстроя России от 27.02.2015 № 140/пр</t>
  </si>
  <si>
    <t>Горячекатаная арматурная сталь гладкая класса А-I, диаметром 20-22 мм</t>
  </si>
  <si>
    <t>411-0002</t>
  </si>
  <si>
    <t>ССЦ Пенз. обл.411-0002 Пр. Минстроя России от 27.02.2015 № 140/пр</t>
  </si>
  <si>
    <t>Вода водопроводная</t>
  </si>
  <si>
    <t>0-3306-58</t>
  </si>
  <si>
    <t>Электромонтажник-наладчик 6 разряда</t>
  </si>
  <si>
    <t>2-0023-58</t>
  </si>
  <si>
    <t>Инженер по наладке и испытаниям III категории</t>
  </si>
  <si>
    <t>110-0199</t>
  </si>
  <si>
    <t>ССЦ Пенз. обл.110-0199 Пр. Минстроя России от 27.02.2015 № 140/пр</t>
  </si>
  <si>
    <t>Полимер для стабилизации буровых скважин EZ MUD</t>
  </si>
  <si>
    <t>407-0005</t>
  </si>
  <si>
    <t>ССЦ Пенз. обл.407-0005 Пр. Минстроя России от 27.02.2015 № 140/пр</t>
  </si>
  <si>
    <t>Глина бентонитовая</t>
  </si>
  <si>
    <t>103-9011</t>
  </si>
  <si>
    <t>ССЦ Пенз. обл.103-9011 Пр. Минстроя России от 27.02.2015 № 140/пр</t>
  </si>
  <si>
    <t>Трубы стальные</t>
  </si>
  <si>
    <t>Бурение с предварительным расширением скважины длиной 50 м машиной горизонтального бурения прессово-шнековой с усилием продавливания 203 ТС (2000кН) фирмы SHMIDT, KRANZ-GRUPPE трехступенчатым методом с одновременным продавливанием отрезков (длиной по 4 м), сваренных между собой стальных трубопроводов диаметром 325 мм (160/325=0,4923)</t>
  </si>
  <si>
    <t>Составлен</t>
  </si>
  <si>
    <t>метод</t>
  </si>
  <si>
    <t>Основание</t>
  </si>
  <si>
    <t>(проектная и (или) иная техническая документация)</t>
  </si>
  <si>
    <t>Сметная стоимость</t>
  </si>
  <si>
    <t>тыс. руб.</t>
  </si>
  <si>
    <t>Средства на оплату труда</t>
  </si>
  <si>
    <t>в том числе:</t>
  </si>
  <si>
    <t>рабочих</t>
  </si>
  <si>
    <t xml:space="preserve"> </t>
  </si>
  <si>
    <t>строительных работ</t>
  </si>
  <si>
    <t xml:space="preserve">Нормативные затраты труда рабочих </t>
  </si>
  <si>
    <t xml:space="preserve">монтажных работ    </t>
  </si>
  <si>
    <t xml:space="preserve">Нормативные затраты труда машинистов </t>
  </si>
  <si>
    <t xml:space="preserve">оборудования         </t>
  </si>
  <si>
    <t>Расчетный измеритель</t>
  </si>
  <si>
    <t xml:space="preserve">прочих затрат       </t>
  </si>
  <si>
    <t>конструктивного решения</t>
  </si>
  <si>
    <t>№ п/п</t>
  </si>
  <si>
    <t>Обоснование</t>
  </si>
  <si>
    <t>Наименование работ и затрат</t>
  </si>
  <si>
    <t>Единица измерения</t>
  </si>
  <si>
    <t>Количество</t>
  </si>
  <si>
    <t>Сметная стоимость в базисном уровне цен (в текущем уровне цен (гр.8) для ресурсов, отсутствующих в СНБ), руб.</t>
  </si>
  <si>
    <t>Индексы</t>
  </si>
  <si>
    <t>Сметная стоимость в текущем уровне цен, руб.</t>
  </si>
  <si>
    <t>на единицу</t>
  </si>
  <si>
    <t>коэффициенты</t>
  </si>
  <si>
    <r>
      <t>всего с учетом коэффицие</t>
    </r>
    <r>
      <rPr>
        <sz val="10"/>
        <color indexed="8"/>
        <rFont val="Arial"/>
        <family val="2"/>
        <charset val="204"/>
      </rPr>
      <t>нтов</t>
    </r>
  </si>
  <si>
    <t>всего</t>
  </si>
  <si>
    <t>Наименование редакции сметных нормативов: ГОСУДАРСТВЕННЫЕ СМЕТНЫЕ НОРМАТИВЫ (ГЭСН, ФЕР) 2020, утвержденные приказами Минстроя России от 26 декабря 2019 г. № 871/пр., № 872/пр., № 873/пр., № 874/пр., № 875/пр., № 876/пр. с изменениями, утвержденными приказами Минстроя России от 30 марта 2020 г. № 171/пр., № 172/пр., от 01 июня 2020 г. № 294/пр., № 295/пр., от 30 июня 2020 г. № 352/пр., № 353/пр., от 20 октября 2020 г. № 635/пр., № 636/пр. ")</t>
  </si>
  <si>
    <t>Базисно-индексный</t>
  </si>
  <si>
    <t>Составлена в ценах сентябрь 2023 года (1.01.2000)</t>
  </si>
  <si>
    <t>Раздел: Земляные работы</t>
  </si>
  <si>
    <r>
      <t>Копание ям вручную без креплений для стоек и столбов без откосов глубиной до 0,7 м, группа грунтов 2</t>
    </r>
    <r>
      <rPr>
        <i/>
        <sz val="10"/>
        <rFont val="Arial"/>
        <family val="2"/>
        <charset val="204"/>
      </rPr>
      <t xml:space="preserve">
Поправки к: 
ЭМ *1,2*1,15;   
ОТм *1,2*1,15;   
ОТ *1,2*1,15;   
ЗТ *1,2*1,15;   
ЗТм *1,2*1,15</t>
    </r>
  </si>
  <si>
    <t>ОТ</t>
  </si>
  <si>
    <t>ЗТ</t>
  </si>
  <si>
    <t>чел-ч</t>
  </si>
  <si>
    <t>Итого по расценке</t>
  </si>
  <si>
    <t>ФОТ</t>
  </si>
  <si>
    <t>НР Земляные работы, выполняемые: ручным способом</t>
  </si>
  <si>
    <t>%</t>
  </si>
  <si>
    <t>СП Земляные работы, выполняемые: ручным способом</t>
  </si>
  <si>
    <t>Всего по позиции</t>
  </si>
  <si>
    <r>
      <t>Засыпка вручную траншей, пазух котлованов и ям, группа грунтов 1</t>
    </r>
    <r>
      <rPr>
        <i/>
        <sz val="10"/>
        <rFont val="Arial"/>
        <family val="2"/>
        <charset val="204"/>
      </rPr>
      <t xml:space="preserve">
Поправки к: 
ЭМ *1,2*1,15;   
ОТм *1,2*1,15;   
ОТ *1,2*1,15;   
ЗТ *1,2*1,15;   
ЗТм *1,2*1,15</t>
    </r>
  </si>
  <si>
    <r>
      <t>Разработка грунта в отвал экскаваторами &lt;драглайн&gt; или &lt;обратная лопата&gt; с ковшом вместимостью 0,25 м3, группа грунтов 2</t>
    </r>
    <r>
      <rPr>
        <i/>
        <sz val="10"/>
        <rFont val="Arial"/>
        <family val="2"/>
        <charset val="204"/>
      </rPr>
      <t xml:space="preserve">
Поправки к: 
ЭМ *1,2*1,15;   
ОТм *1,2*1,15;   
ОТ *1,2*1,15;   
ЗТ *1,2*1,15;   
ЗТм *1,2*1,15</t>
    </r>
  </si>
  <si>
    <t>ЭМ</t>
  </si>
  <si>
    <t>в т.ч. ОТм</t>
  </si>
  <si>
    <t>ЗТм</t>
  </si>
  <si>
    <t>НР Земляные работы, выполняемые: механизированным способом</t>
  </si>
  <si>
    <t>СП Земляные работы, выполняемые: механизированным способом</t>
  </si>
  <si>
    <r>
      <t>Разработка грунта вручную в траншеях глубиной до 2 м без креплений с откосами, группа грунтов 2</t>
    </r>
    <r>
      <rPr>
        <i/>
        <sz val="10"/>
        <rFont val="Arial"/>
        <family val="2"/>
        <charset val="204"/>
      </rPr>
      <t xml:space="preserve">
Поправки к: 
ЭМ *1,2*1,15;   
ОТм *1,2*1,15;   
ОТ *1,2*1,15;   
ЗТ *1,2*1,15;   
ЗТм *1,2*1,15</t>
    </r>
  </si>
  <si>
    <r>
      <t>Засыпка траншей и котлованов с перемещением грунта до 5 м бульдозерами мощностью 59 кВт (80 л.с.), группа грунтов 2</t>
    </r>
    <r>
      <rPr>
        <i/>
        <sz val="10"/>
        <rFont val="Arial"/>
        <family val="2"/>
        <charset val="204"/>
      </rPr>
      <t xml:space="preserve">
Поправки к: 
ЭМ *1,2*1,15;   
ОТм *1,2*1,15;   
ОТ *1,2*1,15;   
ЗТ *1,2*1,15;   
ЗТм *1,2*1,15</t>
    </r>
  </si>
  <si>
    <r>
      <t>Укладка трубопроводов из полиэтиленовых труб диаметром 150 мм</t>
    </r>
    <r>
      <rPr>
        <i/>
        <sz val="10"/>
        <rFont val="Arial"/>
        <family val="2"/>
        <charset val="204"/>
      </rPr>
      <t xml:space="preserve">
Поправки к: 
ЭМ *1,15*1,2;   
ОТм *1,15*1,2;   
ОТ *1,15*1,2;   
ЗТ *1,15*1,2;   
ЗТм *1,15*1,2</t>
    </r>
  </si>
  <si>
    <t>М</t>
  </si>
  <si>
    <t>НР Наружные сети водопровода, канализации, теплоснабжения, газопроводы</t>
  </si>
  <si>
    <t>СП Наружные сети водопровода, канализации, теплоснабжения, газопроводы</t>
  </si>
  <si>
    <r>
      <t>Подготовка почвы для устройства партерного и обыкновенного газона с внесением растительной земли слоем 15 см вручную</t>
    </r>
    <r>
      <rPr>
        <i/>
        <sz val="10"/>
        <rFont val="Arial"/>
        <family val="2"/>
        <charset val="204"/>
      </rPr>
      <t xml:space="preserve">
Поправки к: 
ЭМ *1,15*1,2;   
ОТм *1,15*1,2;   
ОТ *1,15*1,2;   
ЗТ *1,15*1,2;   
ЗТм *1,15*1,2</t>
    </r>
  </si>
  <si>
    <t>НР Озеленение. Защитные лесонасаждения</t>
  </si>
  <si>
    <t>СП Озеленение. Защитные лесонасаждения</t>
  </si>
  <si>
    <r>
      <t>На каждые 5 см изменения толщины слоя добавлять или исключать к расценкам с 47-01-046-01 по 47-01-046-04</t>
    </r>
    <r>
      <rPr>
        <i/>
        <sz val="10"/>
        <rFont val="Arial"/>
        <family val="2"/>
        <charset val="204"/>
      </rPr>
      <t xml:space="preserve">
Поправки к: 
ЭМ *1,2*1,15;   
ОТм *1,2*1,15;   
ОТ *1,2*1,15;   
ЗТ *1,2*1,15;   
ЗТм *1,2*1,15</t>
    </r>
  </si>
  <si>
    <t>Итого прямые затраты по разделу (в базисном уровне цен)</t>
  </si>
  <si>
    <t>в том числе</t>
  </si>
  <si>
    <t xml:space="preserve">   оплата труда</t>
  </si>
  <si>
    <t xml:space="preserve">   эксплуатация машин и механизмов</t>
  </si>
  <si>
    <t xml:space="preserve">   материальные ресурсы</t>
  </si>
  <si>
    <t xml:space="preserve">   перевозка</t>
  </si>
  <si>
    <t>Итого ФОТ (в базисном уровне цен) (справочно)</t>
  </si>
  <si>
    <t>Итого накладные расходы (в базисном уровне цен)</t>
  </si>
  <si>
    <t>Итого сметная прибыль (в базисном уровне цен)</t>
  </si>
  <si>
    <t>Итого оборудование (в базисном уровне цен)</t>
  </si>
  <si>
    <t>Итого прочие затраты (в базисном уровне цен)</t>
  </si>
  <si>
    <t>Итого по разделу (в базисном уровне цен)</t>
  </si>
  <si>
    <t xml:space="preserve">   материальные ресурсы, отсутствующие в СНБ (в текущем уровне цен)</t>
  </si>
  <si>
    <t xml:space="preserve">   оборудование, отсутствующие в СНБ (в текущем уровне цен)</t>
  </si>
  <si>
    <t>Раздел: Монтажные работы</t>
  </si>
  <si>
    <r>
      <t>Устройство постели при одном кабеле в траншее</t>
    </r>
    <r>
      <rPr>
        <i/>
        <sz val="10"/>
        <rFont val="Arial"/>
        <family val="2"/>
        <charset val="204"/>
      </rPr>
      <t xml:space="preserve">
Поправки к: 
ЭМ *1,2*1,15;   
ОТм *1,2*1,15;   
ОТ *1,2*1,15;   
ЗТ *1,2*1,15;   
ЗТм *1,2*1,15</t>
    </r>
  </si>
  <si>
    <t>НР Электротехнические установки: на других объектах</t>
  </si>
  <si>
    <t>СП Электротехнические установки: на других объектах</t>
  </si>
  <si>
    <r>
      <t>На каждый последующий кабель добавлять к расценке 08-02-142-01</t>
    </r>
    <r>
      <rPr>
        <i/>
        <sz val="10"/>
        <rFont val="Arial"/>
        <family val="2"/>
        <charset val="204"/>
      </rPr>
      <t xml:space="preserve">
Поправки к: 
ЭМ *1,2*1,15;   
ОТм *1,2*1,15;   
ОТ *1,2*1,15;   
ЗТ *1,2*1,15;   
ЗТм *1,2*1,15</t>
    </r>
  </si>
  <si>
    <r>
      <t>Покрытие кабеля, проложенного в траншее кирпичом одного кабеля</t>
    </r>
    <r>
      <rPr>
        <i/>
        <sz val="10"/>
        <rFont val="Arial"/>
        <family val="2"/>
        <charset val="204"/>
      </rPr>
      <t xml:space="preserve">
Поправки к: 
ЭМ *1,2*1,15;   
ОТм *1,2*1,15;   
ОТ *1,2*1,15;   
ЗТ *1,2*1,15;   
ЗТм *1,2*1,15</t>
    </r>
  </si>
  <si>
    <r>
      <t>Покрытие кабеля, проложенного в траншее кирпичом каждого последующего</t>
    </r>
    <r>
      <rPr>
        <i/>
        <sz val="10"/>
        <rFont val="Arial"/>
        <family val="2"/>
        <charset val="204"/>
      </rPr>
      <t xml:space="preserve">
Поправки к: 
ЭМ *1,2*1,15;   
ОТм *1,2*1,15;   
ОТ *1,2*1,15;   
ЗТ *1,2*1,15;   
ЗТм *1,2*1,15</t>
    </r>
  </si>
  <si>
    <r>
      <t>Кабель до 35 кВ в готовых траншеях без покрытий, масса 1 м до 6 кг</t>
    </r>
    <r>
      <rPr>
        <i/>
        <sz val="10"/>
        <rFont val="Arial"/>
        <family val="2"/>
        <charset val="204"/>
      </rPr>
      <t xml:space="preserve">
Поправки к: 
ЭМ *1,15*1,2;   
ОТм *1,15*1,2;   
ОТ *1,15*1,2;   
ЗТ *1,15*1,2;   
ЗТм *1,15*1,2</t>
    </r>
  </si>
  <si>
    <r>
      <t>Кабель до 35 кВ в проложенных трубах, блоках и коробах, масса 1 м кабеля до 6 кг ( в т.ч ГНБ-2*56 м)</t>
    </r>
    <r>
      <rPr>
        <i/>
        <sz val="10"/>
        <rFont val="Arial"/>
        <family val="2"/>
        <charset val="204"/>
      </rPr>
      <t xml:space="preserve">
Поправки к: 
ЭМ *1,2*1,15;   
ОТм *1,2*1,15;   
ОТ *1,2*1,15;   
ЗТ *1,2*1,15;   
ЗТм *1,2*1,15</t>
    </r>
  </si>
  <si>
    <r>
      <t>Кабель до 35 кВ по установленным конструкциям и лоткам с креплением по всей длине, масса 1 м кабеля до 6 кг</t>
    </r>
    <r>
      <rPr>
        <i/>
        <sz val="10"/>
        <rFont val="Arial"/>
        <family val="2"/>
        <charset val="204"/>
      </rPr>
      <t xml:space="preserve">
Поправки к: 
ЭМ *1,35;   
ОТм *1,35;   
ОТ *1,35;   
ЗТ *1,35;   
ЗТм *1,35</t>
    </r>
  </si>
  <si>
    <r>
      <t>Кабель до 35 кВ, прокладываемый по дну канала без креплений, масса 1 м кабеля до 6 кг</t>
    </r>
    <r>
      <rPr>
        <i/>
        <sz val="10"/>
        <rFont val="Arial"/>
        <family val="2"/>
        <charset val="204"/>
      </rPr>
      <t xml:space="preserve">
Поправки к: 
ЭМ *1,35;   
ОТм *1,35;   
ОТ *1,35;   
ЗТ *1,35;   
ЗТм *1,35</t>
    </r>
  </si>
  <si>
    <r>
      <t>Снятие с кабеля верхнего джутового покрова, масса 1 м кабеля до 9 кг</t>
    </r>
    <r>
      <rPr>
        <i/>
        <sz val="10"/>
        <rFont val="Arial"/>
        <family val="2"/>
        <charset val="204"/>
      </rPr>
      <t xml:space="preserve">
Поправки к: 
ЭМ *1,35;   
ОТм *1,35;   
ОТ *1,35;   
ЗТ *1,35;   
ЗТм *1,35</t>
    </r>
  </si>
  <si>
    <r>
      <t>Муфта концевая эпоксидная для 3-жильного кабеля напряжением 1 кВ, сечение одной жилы до 185 мм2</t>
    </r>
    <r>
      <rPr>
        <i/>
        <sz val="10"/>
        <rFont val="Arial"/>
        <family val="2"/>
        <charset val="204"/>
      </rPr>
      <t xml:space="preserve">
Поправки к: 
ЭМ *1,35;   
ОТм *1,35;   
ОТ *1,35;   
ЗТ *1,35;   
ЗТм *1,35</t>
    </r>
  </si>
  <si>
    <r>
      <t>Присоединение к зажимам жил проводов или кабелей сечением до 150 мм2</t>
    </r>
    <r>
      <rPr>
        <i/>
        <sz val="10"/>
        <rFont val="Arial"/>
        <family val="2"/>
        <charset val="204"/>
      </rPr>
      <t xml:space="preserve">
Поправки к: 
ЭМ *1,35;   
ОТм *1,35;   
ОТ *1,35;   
ЗТ *1,35;   
ЗТм *1,35</t>
    </r>
  </si>
  <si>
    <r>
      <t>Муфта соединительная свинцовая с защитным кожухом для кабеля напряжением до 10 кВ без заливки кожуха массой, сечение жил до 185 мм2</t>
    </r>
    <r>
      <rPr>
        <i/>
        <sz val="10"/>
        <rFont val="Arial"/>
        <family val="2"/>
        <charset val="204"/>
      </rPr>
      <t xml:space="preserve">
Поправки к: 
ЭМ *1,15*1,2;   
ОТм *1,15*1,2;   
ОТ *1,15*1,2;   
ЗТ *1,15*1,2;   
ЗТм *1,15*1,2</t>
    </r>
  </si>
  <si>
    <r>
      <t>Герметизация проходов при вводе кабелей во взрывоопасные помещения уплотнительной массой</t>
    </r>
    <r>
      <rPr>
        <i/>
        <sz val="10"/>
        <rFont val="Arial"/>
        <family val="2"/>
        <charset val="204"/>
      </rPr>
      <t xml:space="preserve">
Поправки к: 
ЭМ *1,15*1,2;   
ОТм *1,15*1,2;   
ОТ *1,15*1,2;   
ЗТ *1,15*1,2;   
ЗТм *1,15*1,2</t>
    </r>
  </si>
  <si>
    <t>Исключен
Уплотнительный состав</t>
  </si>
  <si>
    <r>
      <t>Предохранитель, устанавливаемый на изоляционном основании, на ток до 250 А</t>
    </r>
    <r>
      <rPr>
        <i/>
        <sz val="10"/>
        <rFont val="Arial"/>
        <family val="2"/>
        <charset val="204"/>
      </rPr>
      <t xml:space="preserve">
Поправки к: 
ЭМ *1,35;   
ОТм *1,35;   
ОТ *1,35;   
ЗТ *1,35;   
ЗТм *1,35</t>
    </r>
  </si>
  <si>
    <t>Раздел: Переход дороги методом ГНБ (2*34м, 2*22м)</t>
  </si>
  <si>
    <t>НР Скважины</t>
  </si>
  <si>
    <t>СП Скважины</t>
  </si>
  <si>
    <r>
      <t>Бурение с предварительным расширением скважины длиной 50 м машиной горизонтального бурения прессово-шнековой с усилием продавливания 203 ТС (2000кН) фирмы SHMIDT, KRANZ-GRUPPE трехступенчатым методом с одновременным продавливанием отрезков (длиной по 4 м), сваренных между собой стальных трубопроводов диаметром 325 мм (160/325=0,4923)</t>
    </r>
    <r>
      <rPr>
        <i/>
        <sz val="10"/>
        <rFont val="Arial"/>
        <family val="2"/>
        <charset val="204"/>
      </rPr>
      <t xml:space="preserve">
Поправки к: 
ЭМ *0,4923;   
ОТм *0,4923;   
ОТ *0,4923;   
ЗТ *0,4923;   
ЗТм *0,4923</t>
    </r>
  </si>
  <si>
    <t>Раздел: Вскрытие и восстановление асфальта</t>
  </si>
  <si>
    <r>
      <t>Разборка покрытий и оснований асфальтобетонных</t>
    </r>
    <r>
      <rPr>
        <i/>
        <sz val="10"/>
        <rFont val="Arial"/>
        <family val="2"/>
        <charset val="204"/>
      </rPr>
      <t xml:space="preserve">
Поправки к: 
ЭМ *1,2*1,15;   
ОТм *1,2*1,15;   
ОТ *1,2*1,15;   
ЗТ *1,2*1,15;   
ЗТм *1,2*1,15</t>
    </r>
  </si>
  <si>
    <t>НР Автомобильные дороги</t>
  </si>
  <si>
    <t>СП Автомобильные дороги</t>
  </si>
  <si>
    <r>
      <t>Разборка покрытий и оснований щебеночных</t>
    </r>
    <r>
      <rPr>
        <i/>
        <sz val="10"/>
        <rFont val="Arial"/>
        <family val="2"/>
        <charset val="204"/>
      </rPr>
      <t xml:space="preserve">
Поправки к: 
ЭМ *1,2*1,15;   
ОТм *1,2*1,15;   
ОТ *1,2*1,15;   
ЗТ *1,2*1,15;   
ЗТм *1,2*1,15</t>
    </r>
  </si>
  <si>
    <r>
      <t>Устройство оснований толщиной 15 см из щебня фракции 40-70 мм при укатке каменных материалов с пределом прочности на сжатие до 68,6 МПа (700 кгс/см2) однослойных</t>
    </r>
    <r>
      <rPr>
        <i/>
        <sz val="10"/>
        <rFont val="Arial"/>
        <family val="2"/>
        <charset val="204"/>
      </rPr>
      <t xml:space="preserve">
Поправки к: 
ЭМ *1,2*1,15;   
ОТм *1,2*1,15;   
ОТ *1,2*1,15;   
ЗТ *1,2*1,15;   
ЗТм *1,2*1,15</t>
    </r>
  </si>
  <si>
    <t>Исключен
Щебень из природного камня для строительных работ марка 600, фракция 40-70 мм</t>
  </si>
  <si>
    <t>Исключен
Щебень из природного камня для строительных работ марка 600, фракция 10-20 мм</t>
  </si>
  <si>
    <r>
      <t>На каждый 1 см изменения толщины слоя добавлять или исключать к расценкам 27-04-007-01, 27-04-007-02, 27-04-007-03 (13 см)</t>
    </r>
    <r>
      <rPr>
        <i/>
        <sz val="10"/>
        <rFont val="Arial"/>
        <family val="2"/>
        <charset val="204"/>
      </rPr>
      <t xml:space="preserve">
Поправки к: 
М *5;   
ЭМ *1,2*1,15*5;   
ОТм *1,2*1,15*5;   
ОТ *1,2*1,15*5;   
ЗТ *1,2*1,15*5;   
ЗТм *1,2*1,15*5</t>
    </r>
  </si>
  <si>
    <r>
      <t>Розлив вяжущих материалов</t>
    </r>
    <r>
      <rPr>
        <i/>
        <sz val="10"/>
        <rFont val="Arial"/>
        <family val="2"/>
        <charset val="204"/>
      </rPr>
      <t xml:space="preserve">
Поправки к: 
ЭМ *1,2*1,15;   
ОТм *1,2*1,15;   
ОТ *1,2*1,15;   
ЗТ *1,2*1,15;   
ЗТм *1,2*1,15</t>
    </r>
  </si>
  <si>
    <r>
      <t>Битумы нефтяные дорожные БНД-100/130</t>
    </r>
    <r>
      <rPr>
        <i/>
        <sz val="10"/>
        <rFont val="Arial"/>
        <family val="2"/>
        <charset val="204"/>
      </rPr>
      <t xml:space="preserve">
29 166,67 = [35 000 / 1,2]</t>
    </r>
  </si>
  <si>
    <r>
      <t>Устройство выравнивающего слоя из асфальтобетонной смеси с применением укладчиков асфальтобетона</t>
    </r>
    <r>
      <rPr>
        <i/>
        <sz val="10"/>
        <rFont val="Arial"/>
        <family val="2"/>
        <charset val="204"/>
      </rPr>
      <t xml:space="preserve">
Поправки к: 
ЭМ *1,2*1,15;   
ОТм *1,2*1,15;   
ОТ *1,2*1,15;   
ЗТ *1,2*1,15;   
ЗТм *1,2*1,15</t>
    </r>
  </si>
  <si>
    <t>Исключен
Смеси асфальтобетонные дорожные, аэродромные и асфальтобетон (холодные), марка II Бх</t>
  </si>
  <si>
    <r>
      <t>Устройство покрытия толщиной 4 см из горячих асфальтобетонных смесей плотных мелкозернистых типа А,Б,В, плотность каменных материалов 2,5-2,9 т/м3</t>
    </r>
    <r>
      <rPr>
        <i/>
        <sz val="10"/>
        <rFont val="Arial"/>
        <family val="2"/>
        <charset val="204"/>
      </rPr>
      <t xml:space="preserve">
Поправки к: 
ЭМ *1,2*1,15;   
ОТм *1,2*1,15;   
ОТ *1,2*1,15;   
ЗТ *1,2*1,15;   
ЗТм *1,2*1,15</t>
    </r>
  </si>
  <si>
    <t>Исключен
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А</t>
  </si>
  <si>
    <t>Раздел: Материалы</t>
  </si>
  <si>
    <r>
      <t>Кабель АВБбШв 4*150</t>
    </r>
    <r>
      <rPr>
        <i/>
        <sz val="10"/>
        <rFont val="Arial"/>
        <family val="2"/>
        <charset val="204"/>
      </rPr>
      <t xml:space="preserve">
1 446,58 = [1 613,14 / 1,2] +  5,5% Трансп +  2% Заг.скл</t>
    </r>
  </si>
  <si>
    <r>
      <t>Кирпич керамический</t>
    </r>
    <r>
      <rPr>
        <i/>
        <sz val="10"/>
        <rFont val="Arial"/>
        <family val="2"/>
        <charset val="204"/>
      </rPr>
      <t xml:space="preserve">
21,52 = [24 / 1,2] +  5,5% Трансп +  2% Заг.скл</t>
    </r>
  </si>
  <si>
    <r>
      <t>Уплотнитель кабельных проходов УКПТ-175/50 КВТ</t>
    </r>
    <r>
      <rPr>
        <i/>
        <sz val="10"/>
        <rFont val="Arial"/>
        <family val="2"/>
        <charset val="204"/>
      </rPr>
      <t xml:space="preserve">
626,83 = [699 / 1,2] +  5,5% Трансп +  2% Заг.скл</t>
    </r>
  </si>
  <si>
    <t>Раздел: Пусконаладочные работы</t>
  </si>
  <si>
    <r>
      <t>Фазировка электрической линии или трансформатора с сетью напряжением до 1 кВ</t>
    </r>
    <r>
      <rPr>
        <i/>
        <sz val="10"/>
        <rFont val="Arial"/>
        <family val="2"/>
        <charset val="204"/>
      </rPr>
      <t xml:space="preserve">
Поправки к: 
ОТ *1,2;   
ЗТ *1,2</t>
    </r>
  </si>
  <si>
    <t>НР Пусконаладочные работы</t>
  </si>
  <si>
    <t>СП Пусконаладочные работы</t>
  </si>
  <si>
    <r>
      <t>Измерение сопротивления изоляции мегаомметром кабельных и других линий напряжением до 1 кВ, предназначенных для передачи электроэнергии к распределительным устройствам, щитам, шкафам, коммутационным аппаратам и электропотребителям</t>
    </r>
    <r>
      <rPr>
        <i/>
        <sz val="10"/>
        <rFont val="Arial"/>
        <family val="2"/>
        <charset val="204"/>
      </rPr>
      <t xml:space="preserve">
Поправки к: 
ОТ *1,2;   
ЗТ *1,2</t>
    </r>
  </si>
  <si>
    <t>ВСЕГО по смете (в базисном и текущем уровнях цен)</t>
  </si>
  <si>
    <t>ВСЕГО прямые затраты по смете</t>
  </si>
  <si>
    <t>Всего ФОТ (справочно)</t>
  </si>
  <si>
    <t>Всего накладные расходы</t>
  </si>
  <si>
    <t>Всего сметная прибыль</t>
  </si>
  <si>
    <t>Всего оборудование</t>
  </si>
  <si>
    <t>Всего прочие затраты</t>
  </si>
  <si>
    <t xml:space="preserve">   пусконаладочные работы</t>
  </si>
  <si>
    <t xml:space="preserve">   прочие затраты</t>
  </si>
  <si>
    <t xml:space="preserve">Проверил   </t>
  </si>
  <si>
    <r>
      <rPr>
        <b/>
        <sz val="14"/>
        <rFont val="Arial"/>
        <family val="2"/>
        <charset val="204"/>
      </rPr>
      <t>Наименование стройки</t>
    </r>
    <r>
      <rPr>
        <sz val="14"/>
        <rFont val="Arial"/>
        <family val="2"/>
        <charset val="204"/>
      </rPr>
      <t>: Технологическое присоединение ВРУ с ЛЭП до точек подключения нежилого здания с кадастровым номером 58:24:0341001:1194 в границах земельного участка с кадастровым номером 58:24:0390501:702, Пензенская область, р-н Пензенский, с.Засечное,примерно 6,7 км на северо-восток.</t>
    </r>
  </si>
  <si>
    <r>
      <rPr>
        <b/>
        <sz val="14"/>
        <rFont val="Arial"/>
        <family val="2"/>
        <charset val="204"/>
      </rPr>
      <t>Код</t>
    </r>
    <r>
      <rPr>
        <sz val="14"/>
        <rFont val="Arial"/>
        <family val="2"/>
        <charset val="204"/>
      </rPr>
      <t xml:space="preserve"> 2022-01016-ТП</t>
    </r>
  </si>
  <si>
    <r>
      <rPr>
        <b/>
        <sz val="14"/>
        <rFont val="Arial"/>
        <family val="2"/>
        <charset val="204"/>
      </rPr>
      <t>Наименование объекта</t>
    </r>
    <r>
      <rPr>
        <sz val="14"/>
        <rFont val="Arial"/>
        <family val="2"/>
        <charset val="204"/>
      </rPr>
      <t>: 2КЛ-1 кВ от РУ-0,4 кВ ТП-477 до муфт М1, М2</t>
    </r>
  </si>
  <si>
    <r>
      <rPr>
        <b/>
        <sz val="14"/>
        <rFont val="Arial"/>
        <family val="2"/>
        <charset val="204"/>
      </rPr>
      <t>Заявитель</t>
    </r>
    <r>
      <rPr>
        <sz val="14"/>
        <rFont val="Arial"/>
        <family val="2"/>
        <charset val="204"/>
      </rPr>
      <t>: Бочкарев В.Е.</t>
    </r>
  </si>
  <si>
    <t>С М Е Т А   № 38-03-23-ЭС</t>
  </si>
  <si>
    <t>НДС 20%</t>
  </si>
  <si>
    <t>Всего по смете</t>
  </si>
  <si>
    <t xml:space="preserve">Исполнил   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</si>
</sst>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#,##0.00;[Red]\-\ #,##0.00"/>
    <numFmt numFmtId="166" formatCode="#,##0;[Red]\-\ #,##0"/>
    <numFmt numFmtId="167" formatCode="#,##0.00#####;[Red]\-\ #,##0.00#####"/>
  </numFmts>
  <fonts count="25">
    <font>
      <sz val="10"/>
      <name val="Arial"/>
      <charset val="204"/>
    </font>
    <font>
      <b/>
      <sz val="10"/>
      <color indexed="12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i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indexed="8"/>
      <name val="Arial"/>
      <family val="2"/>
      <charset val="204"/>
    </font>
    <font>
      <i/>
      <sz val="11"/>
      <name val="Arial"/>
      <family val="2"/>
      <charset val="204"/>
    </font>
    <font>
      <b/>
      <sz val="13"/>
      <name val="Arial"/>
      <family val="2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1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12" fillId="0" borderId="0" xfId="0" applyFont="1" applyBorder="1" applyAlignment="1">
      <alignment vertical="top" wrapText="1"/>
    </xf>
    <xf numFmtId="0" fontId="15" fillId="0" borderId="0" xfId="0" applyFont="1"/>
    <xf numFmtId="14" fontId="11" fillId="0" borderId="0" xfId="0" applyNumberFormat="1" applyFont="1" applyBorder="1" applyAlignment="1"/>
    <xf numFmtId="0" fontId="11" fillId="0" borderId="0" xfId="0" applyFont="1" applyBorder="1" applyAlignment="1"/>
    <xf numFmtId="0" fontId="9" fillId="0" borderId="0" xfId="0" applyFont="1" applyFill="1"/>
    <xf numFmtId="0" fontId="11" fillId="0" borderId="0" xfId="0" applyFont="1" applyFill="1"/>
    <xf numFmtId="0" fontId="16" fillId="0" borderId="0" xfId="0" applyFont="1"/>
    <xf numFmtId="164" fontId="11" fillId="0" borderId="0" xfId="0" applyNumberFormat="1" applyFont="1" applyFill="1"/>
    <xf numFmtId="165" fontId="9" fillId="0" borderId="0" xfId="0" applyNumberFormat="1" applyFont="1" applyFill="1" applyAlignment="1">
      <alignment horizontal="right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65" fontId="11" fillId="0" borderId="0" xfId="0" applyNumberFormat="1" applyFont="1"/>
    <xf numFmtId="0" fontId="9" fillId="0" borderId="0" xfId="0" applyFont="1" applyAlignment="1">
      <alignment vertical="top" wrapText="1"/>
    </xf>
    <xf numFmtId="165" fontId="0" fillId="0" borderId="0" xfId="0" applyNumberFormat="1"/>
    <xf numFmtId="166" fontId="11" fillId="0" borderId="0" xfId="0" applyNumberFormat="1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0" fillId="0" borderId="1" xfId="0" applyBorder="1"/>
    <xf numFmtId="0" fontId="9" fillId="0" borderId="1" xfId="0" applyFont="1" applyBorder="1" applyAlignment="1">
      <alignment vertical="top" wrapText="1"/>
    </xf>
    <xf numFmtId="0" fontId="11" fillId="0" borderId="0" xfId="0" applyFont="1" applyAlignment="1">
      <alignment horizontal="right"/>
    </xf>
    <xf numFmtId="165" fontId="9" fillId="0" borderId="0" xfId="0" applyNumberFormat="1" applyFont="1" applyAlignment="1">
      <alignment horizontal="right"/>
    </xf>
    <xf numFmtId="165" fontId="11" fillId="0" borderId="0" xfId="0" applyNumberFormat="1" applyFont="1" applyFill="1"/>
    <xf numFmtId="167" fontId="9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18" fillId="0" borderId="1" xfId="0" applyFont="1" applyBorder="1" applyAlignment="1">
      <alignment horizontal="right" wrapText="1"/>
    </xf>
    <xf numFmtId="0" fontId="11" fillId="0" borderId="1" xfId="0" applyFont="1" applyBorder="1" applyAlignment="1">
      <alignment horizontal="right"/>
    </xf>
    <xf numFmtId="165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 wrapText="1"/>
    </xf>
    <xf numFmtId="165" fontId="18" fillId="0" borderId="0" xfId="0" applyNumberFormat="1" applyFont="1" applyAlignment="1">
      <alignment horizontal="right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center"/>
    </xf>
    <xf numFmtId="165" fontId="13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right" vertical="top" wrapText="1"/>
    </xf>
    <xf numFmtId="0" fontId="1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20" fillId="0" borderId="0" xfId="8" applyFont="1"/>
    <xf numFmtId="0" fontId="20" fillId="0" borderId="0" xfId="9" applyFont="1" applyAlignment="1">
      <alignment vertical="center" wrapText="1"/>
    </xf>
    <xf numFmtId="0" fontId="20" fillId="0" borderId="0" xfId="10" applyFont="1"/>
    <xf numFmtId="0" fontId="20" fillId="0" borderId="0" xfId="8" applyFont="1" applyAlignment="1"/>
    <xf numFmtId="0" fontId="22" fillId="0" borderId="0" xfId="33" applyFont="1"/>
    <xf numFmtId="0" fontId="22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right" vertical="center"/>
    </xf>
    <xf numFmtId="165" fontId="23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right" vertical="center"/>
    </xf>
    <xf numFmtId="165" fontId="22" fillId="0" borderId="0" xfId="0" applyNumberFormat="1" applyFont="1" applyAlignment="1">
      <alignment horizontal="right" vertical="center"/>
    </xf>
    <xf numFmtId="4" fontId="23" fillId="0" borderId="0" xfId="10" applyNumberFormat="1" applyFont="1" applyBorder="1" applyAlignment="1">
      <alignment horizontal="right"/>
    </xf>
    <xf numFmtId="0" fontId="22" fillId="0" borderId="0" xfId="33" applyFont="1" applyBorder="1"/>
    <xf numFmtId="4" fontId="23" fillId="0" borderId="0" xfId="33" applyNumberFormat="1" applyFont="1" applyBorder="1"/>
    <xf numFmtId="4" fontId="23" fillId="0" borderId="0" xfId="33" applyNumberFormat="1" applyFont="1"/>
    <xf numFmtId="4" fontId="22" fillId="0" borderId="0" xfId="33" applyNumberFormat="1" applyFont="1"/>
    <xf numFmtId="0" fontId="22" fillId="0" borderId="1" xfId="10" applyFont="1" applyBorder="1"/>
    <xf numFmtId="0" fontId="22" fillId="0" borderId="0" xfId="10" applyFont="1"/>
    <xf numFmtId="0" fontId="22" fillId="0" borderId="0" xfId="10" applyFont="1" applyBorder="1"/>
    <xf numFmtId="4" fontId="22" fillId="0" borderId="0" xfId="10" applyNumberFormat="1" applyFont="1" applyBorder="1" applyAlignment="1">
      <alignment horizontal="right"/>
    </xf>
    <xf numFmtId="4" fontId="22" fillId="0" borderId="0" xfId="33" applyNumberFormat="1" applyFont="1" applyBorder="1"/>
    <xf numFmtId="0" fontId="9" fillId="0" borderId="1" xfId="0" applyFont="1" applyBorder="1" applyAlignment="1">
      <alignment horizontal="left"/>
    </xf>
    <xf numFmtId="0" fontId="12" fillId="0" borderId="0" xfId="0" applyFont="1" applyBorder="1" applyAlignment="1">
      <alignment horizontal="center" vertical="top" wrapText="1"/>
    </xf>
    <xf numFmtId="165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2" fontId="9" fillId="0" borderId="0" xfId="0" applyNumberFormat="1" applyFont="1" applyFill="1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165" fontId="13" fillId="0" borderId="2" xfId="0" applyNumberFormat="1" applyFont="1" applyBorder="1" applyAlignment="1">
      <alignment horizontal="right"/>
    </xf>
    <xf numFmtId="0" fontId="19" fillId="0" borderId="0" xfId="0" applyFont="1" applyAlignment="1">
      <alignment horizontal="center" wrapText="1"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0" fillId="0" borderId="0" xfId="8" applyFont="1" applyAlignment="1">
      <alignment horizontal="left" wrapText="1"/>
    </xf>
    <xf numFmtId="0" fontId="20" fillId="0" borderId="0" xfId="9" applyFont="1" applyAlignment="1">
      <alignment horizontal="left" vertical="center"/>
    </xf>
    <xf numFmtId="0" fontId="20" fillId="0" borderId="0" xfId="8" applyFont="1" applyAlignment="1">
      <alignment horizontal="left"/>
    </xf>
    <xf numFmtId="0" fontId="21" fillId="0" borderId="0" xfId="10" applyFont="1" applyAlignment="1">
      <alignment horizontal="center" wrapText="1"/>
    </xf>
    <xf numFmtId="0" fontId="20" fillId="0" borderId="0" xfId="8" applyFont="1" applyAlignment="1">
      <alignment horizontal="center"/>
    </xf>
    <xf numFmtId="0" fontId="22" fillId="0" borderId="1" xfId="10" applyFont="1" applyBorder="1" applyAlignment="1">
      <alignment horizontal="right"/>
    </xf>
    <xf numFmtId="0" fontId="23" fillId="0" borderId="0" xfId="10" applyFont="1" applyBorder="1" applyAlignment="1">
      <alignment horizontal="left" vertical="center" wrapText="1"/>
    </xf>
    <xf numFmtId="0" fontId="22" fillId="0" borderId="0" xfId="10" applyFont="1" applyBorder="1" applyAlignment="1">
      <alignment horizontal="left" vertical="center" wrapText="1"/>
    </xf>
    <xf numFmtId="4" fontId="0" fillId="0" borderId="0" xfId="0" applyNumberFormat="1"/>
  </cellXfs>
  <cellStyles count="35">
    <cellStyle name="Обычный" xfId="0" builtinId="0"/>
    <cellStyle name="Обычный 10" xfId="33"/>
    <cellStyle name="Обычный 11" xfId="28"/>
    <cellStyle name="Обычный 12" xfId="27"/>
    <cellStyle name="Обычный 13" xfId="26"/>
    <cellStyle name="Обычный 14" xfId="25"/>
    <cellStyle name="Обычный 15" xfId="24"/>
    <cellStyle name="Обычный 16" xfId="23"/>
    <cellStyle name="Обычный 17" xfId="22"/>
    <cellStyle name="Обычный 18" xfId="21"/>
    <cellStyle name="Обычный 19" xfId="20"/>
    <cellStyle name="Обычный 2" xfId="10"/>
    <cellStyle name="Обычный 20" xfId="19"/>
    <cellStyle name="Обычный 21" xfId="18"/>
    <cellStyle name="Обычный 22" xfId="17"/>
    <cellStyle name="Обычный 23" xfId="16"/>
    <cellStyle name="Обычный 24" xfId="15"/>
    <cellStyle name="Обычный 25" xfId="14"/>
    <cellStyle name="Обычный 26" xfId="13"/>
    <cellStyle name="Обычный 27" xfId="12"/>
    <cellStyle name="Обычный 28" xfId="11"/>
    <cellStyle name="Обычный 29" xfId="6"/>
    <cellStyle name="Обычный 3" xfId="9"/>
    <cellStyle name="Обычный 30" xfId="5"/>
    <cellStyle name="Обычный 31" xfId="4"/>
    <cellStyle name="Обычный 32" xfId="3"/>
    <cellStyle name="Обычный 33" xfId="2"/>
    <cellStyle name="Обычный 34" xfId="1"/>
    <cellStyle name="Обычный 4" xfId="7"/>
    <cellStyle name="Обычный 40" xfId="8"/>
    <cellStyle name="Обычный 5" xfId="32"/>
    <cellStyle name="Обычный 6" xfId="31"/>
    <cellStyle name="Обычный 7" xfId="34"/>
    <cellStyle name="Обычный 8" xfId="30"/>
    <cellStyle name="Обычный 9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681"/>
  <sheetViews>
    <sheetView tabSelected="1" view="pageBreakPreview" topLeftCell="A386" zoomScaleNormal="100" zoomScaleSheetLayoutView="100" workbookViewId="0">
      <selection activeCell="I380" sqref="I380:J380"/>
    </sheetView>
  </sheetViews>
  <sheetFormatPr defaultRowHeight="12.75"/>
  <cols>
    <col min="1" max="1" width="5.7109375" customWidth="1"/>
    <col min="2" max="2" width="20.7109375" customWidth="1"/>
    <col min="3" max="3" width="40.7109375" customWidth="1"/>
    <col min="4" max="4" width="10.7109375" customWidth="1"/>
    <col min="5" max="10" width="14.7109375" customWidth="1"/>
    <col min="11" max="11" width="13.28515625" customWidth="1"/>
    <col min="12" max="12" width="16.85546875" customWidth="1"/>
    <col min="15" max="93" width="0" hidden="1" customWidth="1"/>
    <col min="94" max="94" width="190.7109375" hidden="1" customWidth="1"/>
    <col min="95" max="95" width="109.7109375" hidden="1" customWidth="1"/>
    <col min="96" max="99" width="0" hidden="1" customWidth="1"/>
  </cols>
  <sheetData>
    <row r="1" spans="1:94">
      <c r="A1" s="10" t="str">
        <f>Source!B1</f>
        <v>Smeta.RU  (495) 974-1589</v>
      </c>
    </row>
    <row r="2" spans="1:94" ht="75" customHeight="1">
      <c r="A2" s="113" t="s">
        <v>890</v>
      </c>
      <c r="B2" s="113"/>
      <c r="C2" s="113"/>
      <c r="D2" s="113"/>
      <c r="E2" s="113"/>
      <c r="F2" s="113"/>
      <c r="G2" s="62"/>
      <c r="H2" s="63"/>
      <c r="I2" s="114" t="s">
        <v>891</v>
      </c>
      <c r="J2" s="114"/>
      <c r="K2" s="114"/>
      <c r="L2" s="114"/>
      <c r="CP2" s="60" t="s">
        <v>789</v>
      </c>
    </row>
    <row r="3" spans="1:94" ht="18">
      <c r="A3" s="113" t="s">
        <v>892</v>
      </c>
      <c r="B3" s="113"/>
      <c r="C3" s="113"/>
      <c r="D3" s="113"/>
      <c r="E3" s="113"/>
      <c r="F3" s="113"/>
      <c r="G3" s="62"/>
      <c r="H3" s="64"/>
      <c r="I3" s="115" t="s">
        <v>893</v>
      </c>
      <c r="J3" s="115"/>
      <c r="K3" s="115"/>
      <c r="L3" s="115"/>
    </row>
    <row r="4" spans="1:94" ht="12.75" customHeight="1">
      <c r="A4" s="62"/>
      <c r="B4" s="62"/>
      <c r="C4" s="62"/>
      <c r="D4" s="62"/>
      <c r="E4" s="62"/>
      <c r="F4" s="62"/>
      <c r="G4" s="62"/>
      <c r="H4" s="62"/>
      <c r="I4" s="65"/>
      <c r="J4" s="65"/>
      <c r="K4" s="65"/>
      <c r="L4" s="65"/>
    </row>
    <row r="5" spans="1:94" ht="18">
      <c r="A5" s="62"/>
      <c r="B5" s="62"/>
      <c r="C5" s="62"/>
      <c r="D5" s="62"/>
      <c r="E5" s="62"/>
      <c r="F5" s="62"/>
      <c r="G5" s="62"/>
      <c r="H5" s="62"/>
      <c r="I5" s="117"/>
      <c r="J5" s="117"/>
      <c r="K5" s="117"/>
      <c r="L5" s="117"/>
    </row>
    <row r="6" spans="1:94" ht="18">
      <c r="A6" s="62"/>
      <c r="B6" s="62"/>
      <c r="C6" s="62"/>
      <c r="D6" s="62"/>
      <c r="E6" s="62"/>
      <c r="F6" s="62"/>
      <c r="G6" s="62"/>
      <c r="H6" s="62"/>
      <c r="I6" s="65"/>
      <c r="J6" s="65"/>
      <c r="K6" s="65"/>
      <c r="L6" s="65"/>
    </row>
    <row r="7" spans="1:94" ht="27" customHeight="1">
      <c r="A7" s="116" t="s">
        <v>894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1:94" ht="14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94" ht="14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94">
      <c r="A10" s="9" t="s">
        <v>759</v>
      </c>
      <c r="B10" s="9"/>
      <c r="C10" s="12" t="s">
        <v>790</v>
      </c>
      <c r="D10" s="9" t="s">
        <v>760</v>
      </c>
      <c r="E10" s="9"/>
      <c r="F10" s="9"/>
      <c r="G10" s="9"/>
      <c r="H10" s="9"/>
      <c r="I10" s="9"/>
      <c r="J10" s="9"/>
      <c r="K10" s="9"/>
      <c r="L10" s="9"/>
    </row>
    <row r="11" spans="1:94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94">
      <c r="A12" s="9" t="s">
        <v>761</v>
      </c>
      <c r="B12" s="9"/>
      <c r="C12" s="87"/>
      <c r="D12" s="87"/>
      <c r="E12" s="87"/>
      <c r="F12" s="87"/>
      <c r="G12" s="87"/>
      <c r="H12" s="9"/>
      <c r="I12" s="9"/>
      <c r="J12" s="9"/>
      <c r="K12" s="9"/>
      <c r="L12" s="13"/>
    </row>
    <row r="13" spans="1:94">
      <c r="A13" s="14"/>
      <c r="B13" s="15"/>
      <c r="C13" s="88" t="s">
        <v>762</v>
      </c>
      <c r="D13" s="88"/>
      <c r="E13" s="88"/>
      <c r="F13" s="88"/>
      <c r="G13" s="88"/>
      <c r="H13" s="16"/>
      <c r="I13" s="16"/>
      <c r="J13" s="16"/>
      <c r="K13" s="16"/>
      <c r="L13" s="16"/>
    </row>
    <row r="14" spans="1:94" ht="14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94" ht="14.25">
      <c r="A15" s="17" t="s">
        <v>791</v>
      </c>
      <c r="B15" s="11"/>
      <c r="C15" s="11"/>
      <c r="D15" s="18"/>
      <c r="E15" s="19"/>
      <c r="F15" s="11"/>
      <c r="G15" s="11"/>
      <c r="H15" s="11"/>
      <c r="I15" s="11"/>
      <c r="J15" s="11"/>
      <c r="K15" s="11"/>
      <c r="L15" s="11"/>
    </row>
    <row r="16" spans="1:94" ht="14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56" ht="14.25">
      <c r="A17" s="17" t="s">
        <v>763</v>
      </c>
      <c r="B17" s="11"/>
      <c r="C17" s="39">
        <f>C20+C21+C22+C23</f>
        <v>2782.5000000000005</v>
      </c>
      <c r="D17" s="89">
        <f>D20+D21+D22+D23</f>
        <v>417.92</v>
      </c>
      <c r="E17" s="90"/>
      <c r="F17" s="20" t="s">
        <v>764</v>
      </c>
      <c r="G17" s="21"/>
      <c r="H17" s="21"/>
      <c r="I17" s="21"/>
      <c r="J17" s="21"/>
      <c r="K17" s="11"/>
      <c r="L17" s="11"/>
    </row>
    <row r="18" spans="1:56" ht="14.25">
      <c r="A18" s="11"/>
      <c r="B18" s="11"/>
      <c r="C18" s="31"/>
      <c r="D18" s="40"/>
      <c r="E18" s="21"/>
      <c r="F18" s="20"/>
      <c r="G18" s="20" t="s">
        <v>765</v>
      </c>
      <c r="H18" s="21"/>
      <c r="I18" s="21"/>
      <c r="J18" s="21"/>
      <c r="K18" s="11"/>
      <c r="L18" s="11"/>
    </row>
    <row r="19" spans="1:56" ht="14.25">
      <c r="A19" s="11"/>
      <c r="B19" s="22" t="s">
        <v>766</v>
      </c>
      <c r="C19" s="31"/>
      <c r="D19" s="40"/>
      <c r="E19" s="23"/>
      <c r="F19" s="20"/>
      <c r="G19" s="20" t="s">
        <v>767</v>
      </c>
      <c r="H19" s="21" t="s">
        <v>768</v>
      </c>
      <c r="I19" s="24">
        <f>ROUND((SUM(U30:U668))/1000, 2)</f>
        <v>206.44</v>
      </c>
      <c r="J19" s="24">
        <f>ROUND((SUM(Q30:Q668))/1000, 2)</f>
        <v>7.14</v>
      </c>
      <c r="K19" s="9" t="s">
        <v>764</v>
      </c>
      <c r="L19" s="11"/>
    </row>
    <row r="20" spans="1:56" ht="14.25">
      <c r="A20" s="11"/>
      <c r="B20" s="17" t="s">
        <v>769</v>
      </c>
      <c r="C20" s="39">
        <f>ROUND((ROUND(SUM(AO30:AO668)*Source!D451, 2)+ROUND(SUM(AP30:AP668)*Source!E451, 2)+ROUND(SUM(AQ30:AQ668)*Source!G451, 2)+ROUND(SUM(AR30:AR668)*Source!L451, 2)+SUM(AS30:AS668)+SUM(AT30:AT668))/1000, 2)</f>
        <v>650.63</v>
      </c>
      <c r="D20" s="89">
        <f>ROUND((SUM(AN30:AN668)+SUM(AR30:AR668))/1000, 2)</f>
        <v>65.489999999999995</v>
      </c>
      <c r="E20" s="90"/>
      <c r="F20" s="20" t="s">
        <v>764</v>
      </c>
      <c r="G20" s="20" t="s">
        <v>770</v>
      </c>
      <c r="H20" s="21"/>
      <c r="I20" s="20"/>
      <c r="J20" s="41">
        <f>Source!F370</f>
        <v>809.20273140999996</v>
      </c>
      <c r="K20" s="9" t="s">
        <v>460</v>
      </c>
      <c r="L20" s="11"/>
    </row>
    <row r="21" spans="1:56" ht="14.25">
      <c r="A21" s="11"/>
      <c r="B21" s="17" t="s">
        <v>771</v>
      </c>
      <c r="C21" s="39">
        <f>ROUND((ROUND(SUM(AY30:AY668)*Source!D451, 2)+ROUND(SUM(AZ30:AZ668)*Source!E451, 2)+ROUND(SUM(BA30:BA668)*Source!G451, 2)+ROUND(SUM(BB30:BB668)*Source!L451, 2)+SUM(BC30:BC668)+SUM(BD30:BD668))/1000, 2)</f>
        <v>2125.34</v>
      </c>
      <c r="D21" s="89">
        <f>ROUND((SUM(AX30:AX668)+SUM(BB30:BB668))/1000, 2)</f>
        <v>352.2</v>
      </c>
      <c r="E21" s="90"/>
      <c r="F21" s="20" t="s">
        <v>764</v>
      </c>
      <c r="G21" s="20" t="s">
        <v>772</v>
      </c>
      <c r="H21" s="21"/>
      <c r="I21" s="20"/>
      <c r="J21" s="41">
        <f>Source!F371</f>
        <v>132.88028832000001</v>
      </c>
      <c r="K21" s="9" t="s">
        <v>460</v>
      </c>
      <c r="L21" s="11"/>
    </row>
    <row r="22" spans="1:56" ht="14.25">
      <c r="A22" s="11"/>
      <c r="B22" s="17" t="s">
        <v>773</v>
      </c>
      <c r="C22" s="39">
        <f>ROUND((ROUND(SUM(BH30:BH668)*Source!H451, 2)+ROUND(SUM(BI30:BI668)*Source!L451, 2))/1000, 2)</f>
        <v>0</v>
      </c>
      <c r="D22" s="89">
        <f>ROUND((SUM(BH30:BH668)+SUM(BI30:BI668))/1000, 2)</f>
        <v>0</v>
      </c>
      <c r="E22" s="90"/>
      <c r="F22" s="20" t="s">
        <v>764</v>
      </c>
      <c r="G22" s="20" t="s">
        <v>774</v>
      </c>
      <c r="H22" s="21"/>
      <c r="I22" s="20"/>
      <c r="J22" s="25"/>
      <c r="K22" s="11"/>
      <c r="L22" s="11"/>
    </row>
    <row r="23" spans="1:56" ht="14.25">
      <c r="A23" s="11"/>
      <c r="B23" s="17" t="s">
        <v>775</v>
      </c>
      <c r="C23" s="39">
        <f>ROUND((ROUND(SUM(BM30:BM668)*Source!I451, 2)+SUM(BU30:BU668)+ROUND(SUM(BO30:BO668)*Source!H451, 2)+ROUND(SUM(BP30:BP668)*Source!L451, 2))/1000, 2)</f>
        <v>6.53</v>
      </c>
      <c r="D23" s="89">
        <f>ROUND((SUM(BM30:BM668)+SUM(BN30:BN668)+SUM(BO30:BO668)+SUM(BP30:BP668))/1000, 2)</f>
        <v>0.23</v>
      </c>
      <c r="E23" s="91"/>
      <c r="F23" s="20" t="s">
        <v>764</v>
      </c>
      <c r="G23" s="20" t="s">
        <v>776</v>
      </c>
      <c r="H23" s="21"/>
      <c r="I23" s="20">
        <f>Source!I20</f>
        <v>0</v>
      </c>
      <c r="J23" s="26" t="str">
        <f>Source!H20</f>
        <v/>
      </c>
      <c r="K23" s="11"/>
      <c r="L23" s="11"/>
    </row>
    <row r="24" spans="1:56" ht="14.25">
      <c r="A24" s="11"/>
      <c r="B24" s="11"/>
      <c r="C24" s="11"/>
      <c r="D24" s="21"/>
      <c r="E24" s="21"/>
      <c r="F24" s="21"/>
      <c r="G24" s="21"/>
      <c r="H24" s="21"/>
      <c r="I24" s="21"/>
      <c r="J24" s="21"/>
      <c r="K24" s="11"/>
      <c r="L24" s="11"/>
    </row>
    <row r="25" spans="1:56">
      <c r="A25" s="92" t="s">
        <v>777</v>
      </c>
      <c r="B25" s="92" t="s">
        <v>778</v>
      </c>
      <c r="C25" s="92" t="s">
        <v>779</v>
      </c>
      <c r="D25" s="92" t="s">
        <v>780</v>
      </c>
      <c r="E25" s="95" t="s">
        <v>781</v>
      </c>
      <c r="F25" s="96"/>
      <c r="G25" s="97"/>
      <c r="H25" s="95" t="s">
        <v>782</v>
      </c>
      <c r="I25" s="96"/>
      <c r="J25" s="97"/>
      <c r="K25" s="92" t="s">
        <v>783</v>
      </c>
      <c r="L25" s="92" t="s">
        <v>784</v>
      </c>
    </row>
    <row r="26" spans="1:56">
      <c r="A26" s="93"/>
      <c r="B26" s="93"/>
      <c r="C26" s="93"/>
      <c r="D26" s="93"/>
      <c r="E26" s="98"/>
      <c r="F26" s="99"/>
      <c r="G26" s="100"/>
      <c r="H26" s="98"/>
      <c r="I26" s="99"/>
      <c r="J26" s="100"/>
      <c r="K26" s="93"/>
      <c r="L26" s="93"/>
    </row>
    <row r="27" spans="1:56">
      <c r="A27" s="93"/>
      <c r="B27" s="93"/>
      <c r="C27" s="93"/>
      <c r="D27" s="93"/>
      <c r="E27" s="101"/>
      <c r="F27" s="102"/>
      <c r="G27" s="103"/>
      <c r="H27" s="101"/>
      <c r="I27" s="102"/>
      <c r="J27" s="103"/>
      <c r="K27" s="93"/>
      <c r="L27" s="93"/>
    </row>
    <row r="28" spans="1:56" ht="25.5">
      <c r="A28" s="94"/>
      <c r="B28" s="94"/>
      <c r="C28" s="94"/>
      <c r="D28" s="94"/>
      <c r="E28" s="27" t="s">
        <v>785</v>
      </c>
      <c r="F28" s="27" t="s">
        <v>786</v>
      </c>
      <c r="G28" s="27" t="s">
        <v>787</v>
      </c>
      <c r="H28" s="27" t="s">
        <v>785</v>
      </c>
      <c r="I28" s="27" t="s">
        <v>786</v>
      </c>
      <c r="J28" s="27" t="s">
        <v>788</v>
      </c>
      <c r="K28" s="94"/>
      <c r="L28" s="94"/>
    </row>
    <row r="29" spans="1:56" ht="14.25">
      <c r="A29" s="28">
        <v>1</v>
      </c>
      <c r="B29" s="28">
        <v>2</v>
      </c>
      <c r="C29" s="28">
        <v>3</v>
      </c>
      <c r="D29" s="28">
        <v>4</v>
      </c>
      <c r="E29" s="28">
        <v>5</v>
      </c>
      <c r="F29" s="28">
        <v>6</v>
      </c>
      <c r="G29" s="28">
        <v>7</v>
      </c>
      <c r="H29" s="28">
        <v>8</v>
      </c>
      <c r="I29" s="28">
        <v>9</v>
      </c>
      <c r="J29" s="28">
        <v>10</v>
      </c>
      <c r="K29" s="29">
        <v>11</v>
      </c>
      <c r="L29" s="30">
        <v>12</v>
      </c>
    </row>
    <row r="31" spans="1:56" ht="16.5">
      <c r="A31" s="109" t="s">
        <v>792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</row>
    <row r="32" spans="1:56" ht="119.25">
      <c r="A32" s="57">
        <v>1</v>
      </c>
      <c r="B32" s="57" t="str">
        <f>Source!F28</f>
        <v>01-02-058-2</v>
      </c>
      <c r="C32" s="57" t="s">
        <v>793</v>
      </c>
      <c r="D32" s="42" t="str">
        <f>Source!H28</f>
        <v>100 м3 грунта</v>
      </c>
      <c r="E32" s="38">
        <f>Source!K28</f>
        <v>0.01</v>
      </c>
      <c r="F32" s="38"/>
      <c r="G32" s="38">
        <f>Source!I28</f>
        <v>0.01</v>
      </c>
      <c r="H32" s="35"/>
      <c r="I32" s="43"/>
      <c r="J32" s="35"/>
      <c r="K32" s="43"/>
      <c r="L32" s="35"/>
      <c r="AG32">
        <f>Source!X28</f>
        <v>26.07</v>
      </c>
      <c r="AH32">
        <f>Source!HK28</f>
        <v>754.15</v>
      </c>
      <c r="AI32">
        <f>Source!Y28</f>
        <v>11.72</v>
      </c>
      <c r="AJ32">
        <f>Source!HL28</f>
        <v>338.94</v>
      </c>
      <c r="AS32">
        <f>IF(Source!BI28&lt;=1,AH32, 0)</f>
        <v>754.15</v>
      </c>
      <c r="AT32">
        <f>IF(Source!BI28&lt;=1,AJ32, 0)</f>
        <v>338.94</v>
      </c>
      <c r="BC32">
        <f>IF(Source!BI28=2,AH32, 0)</f>
        <v>0</v>
      </c>
      <c r="BD32">
        <f>IF(Source!BI28=2,AJ32, 0)</f>
        <v>0</v>
      </c>
    </row>
    <row r="34" spans="1:56">
      <c r="C34" s="32" t="str">
        <f>"Объем: "&amp;Source!K28&amp;"=1/"&amp;"100"</f>
        <v>Объем: 0,01=1/100</v>
      </c>
    </row>
    <row r="35" spans="1:56" ht="14.25">
      <c r="A35" s="57"/>
      <c r="B35" s="58">
        <v>1</v>
      </c>
      <c r="C35" s="57" t="s">
        <v>794</v>
      </c>
      <c r="D35" s="42"/>
      <c r="E35" s="38"/>
      <c r="F35" s="38"/>
      <c r="G35" s="38"/>
      <c r="H35" s="35">
        <f>Source!AO28</f>
        <v>2122.4</v>
      </c>
      <c r="I35" s="43">
        <f>ROUND(1.2*1.15,7)</f>
        <v>1.38</v>
      </c>
      <c r="J35" s="35">
        <f>ROUND(Source!AF28*Source!I28, 2)</f>
        <v>29.29</v>
      </c>
      <c r="K35" s="43">
        <f>IF(Source!BA28&lt;&gt; 0, Source!BA28, 1)</f>
        <v>28.93</v>
      </c>
      <c r="L35" s="35">
        <f>Source!HJ28</f>
        <v>847.36</v>
      </c>
    </row>
    <row r="36" spans="1:56" ht="14.25">
      <c r="A36" s="57"/>
      <c r="B36" s="57"/>
      <c r="C36" s="59" t="s">
        <v>795</v>
      </c>
      <c r="D36" s="44" t="s">
        <v>796</v>
      </c>
      <c r="E36" s="45">
        <f>Source!AQ28</f>
        <v>280</v>
      </c>
      <c r="F36" s="45">
        <f>ROUND(1.2*1.15,7)</f>
        <v>1.38</v>
      </c>
      <c r="G36" s="45">
        <f>ROUND(Source!U28, 7)</f>
        <v>3.8639999999999999</v>
      </c>
      <c r="H36" s="46"/>
      <c r="I36" s="47"/>
      <c r="J36" s="46"/>
      <c r="K36" s="47"/>
      <c r="L36" s="46"/>
    </row>
    <row r="37" spans="1:56" ht="14.25">
      <c r="A37" s="57"/>
      <c r="B37" s="57"/>
      <c r="C37" s="57" t="s">
        <v>797</v>
      </c>
      <c r="D37" s="42"/>
      <c r="E37" s="38"/>
      <c r="F37" s="38"/>
      <c r="G37" s="38"/>
      <c r="H37" s="35">
        <f>H35</f>
        <v>2122.4</v>
      </c>
      <c r="I37" s="43"/>
      <c r="J37" s="35">
        <f>J35</f>
        <v>29.29</v>
      </c>
      <c r="K37" s="43"/>
      <c r="L37" s="35"/>
    </row>
    <row r="38" spans="1:56" ht="14.25">
      <c r="A38" s="57"/>
      <c r="B38" s="57"/>
      <c r="C38" s="57" t="s">
        <v>798</v>
      </c>
      <c r="D38" s="42"/>
      <c r="E38" s="38"/>
      <c r="F38" s="38"/>
      <c r="G38" s="38"/>
      <c r="H38" s="35"/>
      <c r="I38" s="43"/>
      <c r="J38" s="35">
        <f>SUM(Q32:Q41)+SUM(V32:V41)+SUM(X32:X41)+SUM(Y32:Y41)</f>
        <v>29.29</v>
      </c>
      <c r="K38" s="43"/>
      <c r="L38" s="35">
        <f>SUM(U32:U41)+SUM(W32:W41)+SUM(Z32:Z41)+SUM(AA32:AA41)</f>
        <v>847.36</v>
      </c>
    </row>
    <row r="39" spans="1:56" ht="28.5">
      <c r="A39" s="57"/>
      <c r="B39" s="57" t="s">
        <v>24</v>
      </c>
      <c r="C39" s="57" t="s">
        <v>799</v>
      </c>
      <c r="D39" s="42" t="s">
        <v>800</v>
      </c>
      <c r="E39" s="38">
        <f>Source!BZ28</f>
        <v>89</v>
      </c>
      <c r="F39" s="38"/>
      <c r="G39" s="38">
        <f>Source!AT28</f>
        <v>89</v>
      </c>
      <c r="H39" s="35"/>
      <c r="I39" s="43"/>
      <c r="J39" s="35">
        <f>SUM(AG32:AG41)</f>
        <v>26.07</v>
      </c>
      <c r="K39" s="43"/>
      <c r="L39" s="35">
        <f>SUM(AH32:AH41)</f>
        <v>754.15</v>
      </c>
    </row>
    <row r="40" spans="1:56" ht="28.5">
      <c r="A40" s="59"/>
      <c r="B40" s="59" t="s">
        <v>25</v>
      </c>
      <c r="C40" s="59" t="s">
        <v>801</v>
      </c>
      <c r="D40" s="44" t="s">
        <v>800</v>
      </c>
      <c r="E40" s="45">
        <f>Source!CA28</f>
        <v>40</v>
      </c>
      <c r="F40" s="45"/>
      <c r="G40" s="45">
        <f>Source!AU28</f>
        <v>40</v>
      </c>
      <c r="H40" s="46"/>
      <c r="I40" s="47"/>
      <c r="J40" s="46">
        <f>SUM(AI32:AI41)</f>
        <v>11.72</v>
      </c>
      <c r="K40" s="47"/>
      <c r="L40" s="46">
        <f>SUM(AJ32:AJ41)</f>
        <v>338.94</v>
      </c>
    </row>
    <row r="41" spans="1:56" ht="15">
      <c r="C41" s="108" t="s">
        <v>802</v>
      </c>
      <c r="D41" s="108"/>
      <c r="E41" s="108"/>
      <c r="F41" s="108"/>
      <c r="G41" s="108"/>
      <c r="H41" s="108"/>
      <c r="I41" s="108">
        <f>J35+J39+J40</f>
        <v>67.08</v>
      </c>
      <c r="J41" s="108"/>
      <c r="O41" s="33">
        <f>I41</f>
        <v>67.08</v>
      </c>
      <c r="P41">
        <f>K41</f>
        <v>0</v>
      </c>
      <c r="Q41" s="33">
        <f>J35</f>
        <v>29.29</v>
      </c>
      <c r="R41" s="33">
        <f>J35</f>
        <v>29.29</v>
      </c>
      <c r="U41" s="33">
        <f>L35</f>
        <v>847.36</v>
      </c>
      <c r="X41">
        <f>0</f>
        <v>0</v>
      </c>
      <c r="Z41">
        <f>0</f>
        <v>0</v>
      </c>
      <c r="AB41">
        <f>0</f>
        <v>0</v>
      </c>
      <c r="AD41">
        <f>0</f>
        <v>0</v>
      </c>
      <c r="AF41">
        <f>0</f>
        <v>0</v>
      </c>
      <c r="AN41">
        <f>IF(Source!BI28&lt;=1,J35+J39+J40, 0)</f>
        <v>67.08</v>
      </c>
      <c r="AO41">
        <f>IF(Source!BI28&lt;=1,0, 0)</f>
        <v>0</v>
      </c>
      <c r="AP41">
        <f>IF(Source!BI28&lt;=1,0, 0)</f>
        <v>0</v>
      </c>
      <c r="AQ41">
        <f>IF(Source!BI28&lt;=1,J35, 0)</f>
        <v>29.29</v>
      </c>
      <c r="AX41">
        <f>IF(Source!BI28=2,J35+J39+J40, 0)</f>
        <v>0</v>
      </c>
      <c r="AY41">
        <f>IF(Source!BI28=2,0, 0)</f>
        <v>0</v>
      </c>
      <c r="AZ41">
        <f>IF(Source!BI28=2,0, 0)</f>
        <v>0</v>
      </c>
      <c r="BA41">
        <f>IF(Source!BI28=2,J35, 0)</f>
        <v>0</v>
      </c>
    </row>
    <row r="42" spans="1:56" ht="105">
      <c r="A42" s="57">
        <v>2</v>
      </c>
      <c r="B42" s="57" t="str">
        <f>Source!F29</f>
        <v>01-02-061-1</v>
      </c>
      <c r="C42" s="57" t="s">
        <v>803</v>
      </c>
      <c r="D42" s="42" t="str">
        <f>Source!H29</f>
        <v>100 м3 грунта</v>
      </c>
      <c r="E42" s="38">
        <f>Source!K29</f>
        <v>0.01</v>
      </c>
      <c r="F42" s="38"/>
      <c r="G42" s="38">
        <f>Source!I29</f>
        <v>0.01</v>
      </c>
      <c r="H42" s="35"/>
      <c r="I42" s="43"/>
      <c r="J42" s="35"/>
      <c r="K42" s="43"/>
      <c r="L42" s="35"/>
      <c r="AG42">
        <f>Source!X29</f>
        <v>7.92</v>
      </c>
      <c r="AH42">
        <f>Source!HK29</f>
        <v>229.16</v>
      </c>
      <c r="AI42">
        <f>Source!Y29</f>
        <v>3.56</v>
      </c>
      <c r="AJ42">
        <f>Source!HL29</f>
        <v>102.99</v>
      </c>
      <c r="AS42">
        <f>IF(Source!BI29&lt;=1,AH42, 0)</f>
        <v>229.16</v>
      </c>
      <c r="AT42">
        <f>IF(Source!BI29&lt;=1,AJ42, 0)</f>
        <v>102.99</v>
      </c>
      <c r="BC42">
        <f>IF(Source!BI29=2,AH42, 0)</f>
        <v>0</v>
      </c>
      <c r="BD42">
        <f>IF(Source!BI29=2,AJ42, 0)</f>
        <v>0</v>
      </c>
    </row>
    <row r="44" spans="1:56">
      <c r="C44" s="32" t="str">
        <f>"Объем: "&amp;Source!K29&amp;"=1/"&amp;"100"</f>
        <v>Объем: 0,01=1/100</v>
      </c>
    </row>
    <row r="45" spans="1:56" ht="14.25">
      <c r="A45" s="57"/>
      <c r="B45" s="58">
        <v>1</v>
      </c>
      <c r="C45" s="57" t="s">
        <v>794</v>
      </c>
      <c r="D45" s="42"/>
      <c r="E45" s="38"/>
      <c r="F45" s="38"/>
      <c r="G45" s="38"/>
      <c r="H45" s="35">
        <f>Source!AO29</f>
        <v>645.16999999999996</v>
      </c>
      <c r="I45" s="43">
        <f>ROUND(1.2*1.15,7)</f>
        <v>1.38</v>
      </c>
      <c r="J45" s="35">
        <f>ROUND(Source!AF29*Source!I29, 2)</f>
        <v>8.9</v>
      </c>
      <c r="K45" s="43">
        <f>IF(Source!BA29&lt;&gt; 0, Source!BA29, 1)</f>
        <v>28.93</v>
      </c>
      <c r="L45" s="35">
        <f>Source!HJ29</f>
        <v>257.48</v>
      </c>
    </row>
    <row r="46" spans="1:56" ht="14.25">
      <c r="A46" s="57"/>
      <c r="B46" s="57"/>
      <c r="C46" s="59" t="s">
        <v>795</v>
      </c>
      <c r="D46" s="44" t="s">
        <v>796</v>
      </c>
      <c r="E46" s="45">
        <f>Source!AQ29</f>
        <v>88.5</v>
      </c>
      <c r="F46" s="45">
        <f>ROUND(1.2*1.15,7)</f>
        <v>1.38</v>
      </c>
      <c r="G46" s="45">
        <f>ROUND(Source!U29, 7)</f>
        <v>1.2213000000000001</v>
      </c>
      <c r="H46" s="46"/>
      <c r="I46" s="47"/>
      <c r="J46" s="46"/>
      <c r="K46" s="47"/>
      <c r="L46" s="46"/>
    </row>
    <row r="47" spans="1:56" ht="14.25">
      <c r="A47" s="57"/>
      <c r="B47" s="57"/>
      <c r="C47" s="57" t="s">
        <v>797</v>
      </c>
      <c r="D47" s="42"/>
      <c r="E47" s="38"/>
      <c r="F47" s="38"/>
      <c r="G47" s="38"/>
      <c r="H47" s="35">
        <f>H45</f>
        <v>645.16999999999996</v>
      </c>
      <c r="I47" s="43"/>
      <c r="J47" s="35">
        <f>J45</f>
        <v>8.9</v>
      </c>
      <c r="K47" s="43"/>
      <c r="L47" s="35"/>
    </row>
    <row r="48" spans="1:56" ht="14.25">
      <c r="A48" s="57"/>
      <c r="B48" s="57"/>
      <c r="C48" s="57" t="s">
        <v>798</v>
      </c>
      <c r="D48" s="42"/>
      <c r="E48" s="38"/>
      <c r="F48" s="38"/>
      <c r="G48" s="38"/>
      <c r="H48" s="35"/>
      <c r="I48" s="43"/>
      <c r="J48" s="35">
        <f>SUM(Q42:Q51)+SUM(V42:V51)+SUM(X42:X51)+SUM(Y42:Y51)</f>
        <v>8.9</v>
      </c>
      <c r="K48" s="43"/>
      <c r="L48" s="35">
        <f>SUM(U42:U51)+SUM(W42:W51)+SUM(Z42:Z51)+SUM(AA42:AA51)</f>
        <v>257.48</v>
      </c>
    </row>
    <row r="49" spans="1:56" ht="28.5">
      <c r="A49" s="57"/>
      <c r="B49" s="57" t="s">
        <v>24</v>
      </c>
      <c r="C49" s="57" t="s">
        <v>799</v>
      </c>
      <c r="D49" s="42" t="s">
        <v>800</v>
      </c>
      <c r="E49" s="38">
        <f>Source!BZ29</f>
        <v>89</v>
      </c>
      <c r="F49" s="38"/>
      <c r="G49" s="38">
        <f>Source!AT29</f>
        <v>89</v>
      </c>
      <c r="H49" s="35"/>
      <c r="I49" s="43"/>
      <c r="J49" s="35">
        <f>SUM(AG42:AG51)</f>
        <v>7.92</v>
      </c>
      <c r="K49" s="43"/>
      <c r="L49" s="35">
        <f>SUM(AH42:AH51)</f>
        <v>229.16</v>
      </c>
    </row>
    <row r="50" spans="1:56" ht="28.5">
      <c r="A50" s="59"/>
      <c r="B50" s="59" t="s">
        <v>25</v>
      </c>
      <c r="C50" s="59" t="s">
        <v>801</v>
      </c>
      <c r="D50" s="44" t="s">
        <v>800</v>
      </c>
      <c r="E50" s="45">
        <f>Source!CA29</f>
        <v>40</v>
      </c>
      <c r="F50" s="45"/>
      <c r="G50" s="45">
        <f>Source!AU29</f>
        <v>40</v>
      </c>
      <c r="H50" s="46"/>
      <c r="I50" s="47"/>
      <c r="J50" s="46">
        <f>SUM(AI42:AI51)</f>
        <v>3.56</v>
      </c>
      <c r="K50" s="47"/>
      <c r="L50" s="46">
        <f>SUM(AJ42:AJ51)</f>
        <v>102.99</v>
      </c>
    </row>
    <row r="51" spans="1:56" ht="15">
      <c r="C51" s="108" t="s">
        <v>802</v>
      </c>
      <c r="D51" s="108"/>
      <c r="E51" s="108"/>
      <c r="F51" s="108"/>
      <c r="G51" s="108"/>
      <c r="H51" s="108"/>
      <c r="I51" s="108">
        <f>J45+J49+J50</f>
        <v>20.38</v>
      </c>
      <c r="J51" s="108"/>
      <c r="O51" s="33">
        <f>I51</f>
        <v>20.38</v>
      </c>
      <c r="P51">
        <f>K51</f>
        <v>0</v>
      </c>
      <c r="Q51" s="33">
        <f>J45</f>
        <v>8.9</v>
      </c>
      <c r="R51" s="33">
        <f>J45</f>
        <v>8.9</v>
      </c>
      <c r="U51" s="33">
        <f>L45</f>
        <v>257.48</v>
      </c>
      <c r="X51">
        <f>0</f>
        <v>0</v>
      </c>
      <c r="Z51">
        <f>0</f>
        <v>0</v>
      </c>
      <c r="AB51">
        <f>0</f>
        <v>0</v>
      </c>
      <c r="AD51">
        <f>0</f>
        <v>0</v>
      </c>
      <c r="AF51">
        <f>0</f>
        <v>0</v>
      </c>
      <c r="AN51">
        <f>IF(Source!BI29&lt;=1,J45+J49+J50, 0)</f>
        <v>20.38</v>
      </c>
      <c r="AO51">
        <f>IF(Source!BI29&lt;=1,0, 0)</f>
        <v>0</v>
      </c>
      <c r="AP51">
        <f>IF(Source!BI29&lt;=1,0, 0)</f>
        <v>0</v>
      </c>
      <c r="AQ51">
        <f>IF(Source!BI29&lt;=1,J45, 0)</f>
        <v>8.9</v>
      </c>
      <c r="AX51">
        <f>IF(Source!BI29=2,J45+J49+J50, 0)</f>
        <v>0</v>
      </c>
      <c r="AY51">
        <f>IF(Source!BI29=2,0, 0)</f>
        <v>0</v>
      </c>
      <c r="AZ51">
        <f>IF(Source!BI29=2,0, 0)</f>
        <v>0</v>
      </c>
      <c r="BA51">
        <f>IF(Source!BI29=2,J45, 0)</f>
        <v>0</v>
      </c>
    </row>
    <row r="52" spans="1:56" ht="147.75">
      <c r="A52" s="57">
        <v>3</v>
      </c>
      <c r="B52" s="57" t="str">
        <f>Source!F30</f>
        <v>01-01-004-5</v>
      </c>
      <c r="C52" s="57" t="s">
        <v>804</v>
      </c>
      <c r="D52" s="42" t="str">
        <f>Source!H30</f>
        <v>1000 м3 грунта</v>
      </c>
      <c r="E52" s="38">
        <f>Source!K30</f>
        <v>7.1999999999999995E-2</v>
      </c>
      <c r="F52" s="38"/>
      <c r="G52" s="38">
        <f>Source!I30</f>
        <v>7.1999999999999995E-2</v>
      </c>
      <c r="H52" s="35"/>
      <c r="I52" s="43"/>
      <c r="J52" s="35"/>
      <c r="K52" s="43"/>
      <c r="L52" s="35"/>
      <c r="AG52">
        <f>Source!X30</f>
        <v>69.510000000000005</v>
      </c>
      <c r="AH52">
        <f>Source!HK30</f>
        <v>2010.81</v>
      </c>
      <c r="AI52">
        <f>Source!Y30</f>
        <v>34.75</v>
      </c>
      <c r="AJ52">
        <f>Source!HL30</f>
        <v>1005.4</v>
      </c>
      <c r="AS52">
        <f>IF(Source!BI30&lt;=1,AH52, 0)</f>
        <v>2010.81</v>
      </c>
      <c r="AT52">
        <f>IF(Source!BI30&lt;=1,AJ52, 0)</f>
        <v>1005.4</v>
      </c>
      <c r="BC52">
        <f>IF(Source!BI30=2,AH52, 0)</f>
        <v>0</v>
      </c>
      <c r="BD52">
        <f>IF(Source!BI30=2,AJ52, 0)</f>
        <v>0</v>
      </c>
    </row>
    <row r="54" spans="1:56">
      <c r="C54" s="32" t="str">
        <f>"Объем: "&amp;Source!K30&amp;"=72/"&amp;"1000"</f>
        <v>Объем: 0,072=72/1000</v>
      </c>
    </row>
    <row r="55" spans="1:56" ht="14.25">
      <c r="A55" s="57"/>
      <c r="B55" s="58">
        <v>1</v>
      </c>
      <c r="C55" s="57" t="s">
        <v>794</v>
      </c>
      <c r="D55" s="42"/>
      <c r="E55" s="38"/>
      <c r="F55" s="38"/>
      <c r="G55" s="38"/>
      <c r="H55" s="35">
        <f>Source!AO30</f>
        <v>97.48</v>
      </c>
      <c r="I55" s="43">
        <f>ROUND(1.2*1.15,7)</f>
        <v>1.38</v>
      </c>
      <c r="J55" s="35">
        <f>ROUND(Source!AF30*Source!I30, 2)</f>
        <v>9.69</v>
      </c>
      <c r="K55" s="43">
        <f>IF(Source!BA30&lt;&gt; 0, Source!BA30, 1)</f>
        <v>28.93</v>
      </c>
      <c r="L55" s="35">
        <f>Source!HJ30</f>
        <v>280.33</v>
      </c>
    </row>
    <row r="56" spans="1:56" ht="14.25">
      <c r="A56" s="57"/>
      <c r="B56" s="58">
        <v>3</v>
      </c>
      <c r="C56" s="57" t="s">
        <v>805</v>
      </c>
      <c r="D56" s="42"/>
      <c r="E56" s="38"/>
      <c r="F56" s="38"/>
      <c r="G56" s="38"/>
      <c r="H56" s="35">
        <f>Source!AM30</f>
        <v>4697.2700000000004</v>
      </c>
      <c r="I56" s="43">
        <f>ROUND(1.2*1.15,7)</f>
        <v>1.38</v>
      </c>
      <c r="J56" s="35">
        <f>ROUND(Source!AD30*Source!I30, 2)</f>
        <v>466.72</v>
      </c>
      <c r="K56" s="43"/>
      <c r="L56" s="35"/>
    </row>
    <row r="57" spans="1:56" ht="14.25">
      <c r="A57" s="57"/>
      <c r="B57" s="58">
        <v>2</v>
      </c>
      <c r="C57" s="57" t="s">
        <v>806</v>
      </c>
      <c r="D57" s="42"/>
      <c r="E57" s="38"/>
      <c r="F57" s="38"/>
      <c r="G57" s="38"/>
      <c r="H57" s="35">
        <f>Source!AN30</f>
        <v>662.81</v>
      </c>
      <c r="I57" s="43">
        <f>ROUND(1.2*1.15,7)</f>
        <v>1.38</v>
      </c>
      <c r="J57" s="48">
        <f>ROUND(Source!AE30*Source!I30, 2)</f>
        <v>65.86</v>
      </c>
      <c r="K57" s="43">
        <f>IF(Source!BS30&lt;&gt; 0, Source!BS30, 1)</f>
        <v>28.93</v>
      </c>
      <c r="L57" s="48">
        <f>Source!HI30</f>
        <v>1905.33</v>
      </c>
    </row>
    <row r="58" spans="1:56" ht="14.25">
      <c r="A58" s="57"/>
      <c r="B58" s="57"/>
      <c r="C58" s="57" t="s">
        <v>795</v>
      </c>
      <c r="D58" s="42" t="s">
        <v>796</v>
      </c>
      <c r="E58" s="38">
        <f>Source!AQ30</f>
        <v>12.86</v>
      </c>
      <c r="F58" s="38">
        <f>ROUND(1.2*1.15,7)</f>
        <v>1.38</v>
      </c>
      <c r="G58" s="38">
        <f>ROUND(Source!U30, 7)</f>
        <v>1.2777696000000001</v>
      </c>
      <c r="H58" s="35"/>
      <c r="I58" s="43"/>
      <c r="J58" s="35"/>
      <c r="K58" s="43"/>
      <c r="L58" s="35"/>
    </row>
    <row r="59" spans="1:56" ht="14.25">
      <c r="A59" s="57"/>
      <c r="B59" s="57"/>
      <c r="C59" s="59" t="s">
        <v>807</v>
      </c>
      <c r="D59" s="44" t="s">
        <v>796</v>
      </c>
      <c r="E59" s="45">
        <f>Source!AR30</f>
        <v>58.76</v>
      </c>
      <c r="F59" s="45">
        <f>ROUND(1.2*1.15,7)</f>
        <v>1.38</v>
      </c>
      <c r="G59" s="45">
        <f>ROUND(Source!V30, 7)</f>
        <v>5.8383935999999999</v>
      </c>
      <c r="H59" s="46"/>
      <c r="I59" s="47"/>
      <c r="J59" s="46"/>
      <c r="K59" s="47"/>
      <c r="L59" s="46"/>
    </row>
    <row r="60" spans="1:56" ht="14.25">
      <c r="A60" s="57"/>
      <c r="B60" s="57"/>
      <c r="C60" s="57" t="s">
        <v>797</v>
      </c>
      <c r="D60" s="42"/>
      <c r="E60" s="38"/>
      <c r="F60" s="38"/>
      <c r="G60" s="38"/>
      <c r="H60" s="35">
        <f>H55+H56</f>
        <v>4794.75</v>
      </c>
      <c r="I60" s="43"/>
      <c r="J60" s="35">
        <f>J55+J56</f>
        <v>476.41</v>
      </c>
      <c r="K60" s="43"/>
      <c r="L60" s="35"/>
    </row>
    <row r="61" spans="1:56" ht="14.25">
      <c r="A61" s="57"/>
      <c r="B61" s="57"/>
      <c r="C61" s="57" t="s">
        <v>798</v>
      </c>
      <c r="D61" s="42"/>
      <c r="E61" s="38"/>
      <c r="F61" s="38"/>
      <c r="G61" s="38"/>
      <c r="H61" s="35"/>
      <c r="I61" s="43"/>
      <c r="J61" s="35">
        <f>SUM(Q52:Q64)+SUM(V52:V64)+SUM(X52:X64)+SUM(Y52:Y64)</f>
        <v>75.55</v>
      </c>
      <c r="K61" s="43"/>
      <c r="L61" s="35">
        <f>SUM(U52:U64)+SUM(W52:W64)+SUM(Z52:Z64)+SUM(AA52:AA64)</f>
        <v>2185.66</v>
      </c>
    </row>
    <row r="62" spans="1:56" ht="28.5">
      <c r="A62" s="57"/>
      <c r="B62" s="57" t="s">
        <v>36</v>
      </c>
      <c r="C62" s="57" t="s">
        <v>808</v>
      </c>
      <c r="D62" s="42" t="s">
        <v>800</v>
      </c>
      <c r="E62" s="38">
        <f>Source!BZ30</f>
        <v>92</v>
      </c>
      <c r="F62" s="38"/>
      <c r="G62" s="38">
        <f>Source!AT30</f>
        <v>92</v>
      </c>
      <c r="H62" s="35"/>
      <c r="I62" s="43"/>
      <c r="J62" s="35">
        <f>SUM(AG52:AG64)</f>
        <v>69.510000000000005</v>
      </c>
      <c r="K62" s="43"/>
      <c r="L62" s="35">
        <f>SUM(AH52:AH64)</f>
        <v>2010.81</v>
      </c>
    </row>
    <row r="63" spans="1:56" ht="28.5">
      <c r="A63" s="59"/>
      <c r="B63" s="59" t="s">
        <v>37</v>
      </c>
      <c r="C63" s="59" t="s">
        <v>809</v>
      </c>
      <c r="D63" s="44" t="s">
        <v>800</v>
      </c>
      <c r="E63" s="45">
        <f>Source!CA30</f>
        <v>46</v>
      </c>
      <c r="F63" s="45"/>
      <c r="G63" s="45">
        <f>Source!AU30</f>
        <v>46</v>
      </c>
      <c r="H63" s="46"/>
      <c r="I63" s="47"/>
      <c r="J63" s="46">
        <f>SUM(AI52:AI64)</f>
        <v>34.75</v>
      </c>
      <c r="K63" s="47"/>
      <c r="L63" s="46">
        <f>SUM(AJ52:AJ64)</f>
        <v>1005.4</v>
      </c>
    </row>
    <row r="64" spans="1:56" ht="15">
      <c r="C64" s="108" t="s">
        <v>802</v>
      </c>
      <c r="D64" s="108"/>
      <c r="E64" s="108"/>
      <c r="F64" s="108"/>
      <c r="G64" s="108"/>
      <c r="H64" s="108"/>
      <c r="I64" s="108">
        <f>J55+J56+J62+J63</f>
        <v>580.67000000000007</v>
      </c>
      <c r="J64" s="108"/>
      <c r="O64" s="33">
        <f>I64</f>
        <v>580.67000000000007</v>
      </c>
      <c r="P64">
        <f>K64</f>
        <v>0</v>
      </c>
      <c r="Q64" s="33">
        <f>J55</f>
        <v>9.69</v>
      </c>
      <c r="R64" s="33">
        <f>J55</f>
        <v>9.69</v>
      </c>
      <c r="U64" s="33">
        <f>L55</f>
        <v>280.33</v>
      </c>
      <c r="X64" s="33">
        <f>J57</f>
        <v>65.86</v>
      </c>
      <c r="Z64" s="33">
        <f>L57</f>
        <v>1905.33</v>
      </c>
      <c r="AB64" s="33">
        <f>J56</f>
        <v>466.72</v>
      </c>
      <c r="AD64" s="33">
        <f>L56</f>
        <v>0</v>
      </c>
      <c r="AF64">
        <f>0</f>
        <v>0</v>
      </c>
      <c r="AN64">
        <f>IF(Source!BI30&lt;=1,J55+J56+J62+J63, 0)</f>
        <v>580.67000000000007</v>
      </c>
      <c r="AO64">
        <f>IF(Source!BI30&lt;=1,0, 0)</f>
        <v>0</v>
      </c>
      <c r="AP64">
        <f>IF(Source!BI30&lt;=1,J56, 0)</f>
        <v>466.72</v>
      </c>
      <c r="AQ64">
        <f>IF(Source!BI30&lt;=1,J55, 0)</f>
        <v>9.69</v>
      </c>
      <c r="AX64">
        <f>IF(Source!BI30=2,J55+J56+J62+J63, 0)</f>
        <v>0</v>
      </c>
      <c r="AY64">
        <f>IF(Source!BI30=2,0, 0)</f>
        <v>0</v>
      </c>
      <c r="AZ64">
        <f>IF(Source!BI30=2,J56, 0)</f>
        <v>0</v>
      </c>
      <c r="BA64">
        <f>IF(Source!BI30=2,J55, 0)</f>
        <v>0</v>
      </c>
    </row>
    <row r="65" spans="1:56" ht="119.25">
      <c r="A65" s="57">
        <v>4</v>
      </c>
      <c r="B65" s="57" t="str">
        <f>Source!F31</f>
        <v>01-02-057-2</v>
      </c>
      <c r="C65" s="57" t="s">
        <v>810</v>
      </c>
      <c r="D65" s="42" t="str">
        <f>Source!H31</f>
        <v>100 м3 грунта</v>
      </c>
      <c r="E65" s="38">
        <f>Source!K31</f>
        <v>0.30330000000000001</v>
      </c>
      <c r="F65" s="38"/>
      <c r="G65" s="38">
        <f>Source!I31</f>
        <v>0.30330000000000001</v>
      </c>
      <c r="H65" s="35"/>
      <c r="I65" s="43"/>
      <c r="J65" s="35"/>
      <c r="K65" s="43"/>
      <c r="L65" s="35"/>
      <c r="AG65">
        <f>Source!X31</f>
        <v>434.85</v>
      </c>
      <c r="AH65">
        <f>Source!HK31</f>
        <v>12580.07</v>
      </c>
      <c r="AI65">
        <f>Source!Y31</f>
        <v>195.44</v>
      </c>
      <c r="AJ65">
        <f>Source!HL31</f>
        <v>5653.96</v>
      </c>
      <c r="AS65">
        <f>IF(Source!BI31&lt;=1,AH65, 0)</f>
        <v>12580.07</v>
      </c>
      <c r="AT65">
        <f>IF(Source!BI31&lt;=1,AJ65, 0)</f>
        <v>5653.96</v>
      </c>
      <c r="BC65">
        <f>IF(Source!BI31=2,AH65, 0)</f>
        <v>0</v>
      </c>
      <c r="BD65">
        <f>IF(Source!BI31=2,AJ65, 0)</f>
        <v>0</v>
      </c>
    </row>
    <row r="67" spans="1:56">
      <c r="C67" s="32" t="str">
        <f>"Объем: "&amp;Source!K31&amp;"=30,33/"&amp;"100"</f>
        <v>Объем: 0,3033=30,33/100</v>
      </c>
    </row>
    <row r="68" spans="1:56" ht="14.25">
      <c r="A68" s="57"/>
      <c r="B68" s="58">
        <v>1</v>
      </c>
      <c r="C68" s="57" t="s">
        <v>794</v>
      </c>
      <c r="D68" s="42"/>
      <c r="E68" s="38"/>
      <c r="F68" s="38"/>
      <c r="G68" s="38"/>
      <c r="H68" s="35">
        <f>Source!AO31</f>
        <v>1167.32</v>
      </c>
      <c r="I68" s="43">
        <f>ROUND(1.2*1.15,7)</f>
        <v>1.38</v>
      </c>
      <c r="J68" s="35">
        <f>ROUND(Source!AF31*Source!I31, 2)</f>
        <v>488.59</v>
      </c>
      <c r="K68" s="43">
        <f>IF(Source!BA31&lt;&gt; 0, Source!BA31, 1)</f>
        <v>28.93</v>
      </c>
      <c r="L68" s="35">
        <f>Source!HJ31</f>
        <v>14134.91</v>
      </c>
    </row>
    <row r="69" spans="1:56" ht="14.25">
      <c r="A69" s="57"/>
      <c r="B69" s="57"/>
      <c r="C69" s="59" t="s">
        <v>795</v>
      </c>
      <c r="D69" s="44" t="s">
        <v>796</v>
      </c>
      <c r="E69" s="45">
        <f>Source!AQ31</f>
        <v>154</v>
      </c>
      <c r="F69" s="45">
        <f>ROUND(1.2*1.15,7)</f>
        <v>1.38</v>
      </c>
      <c r="G69" s="45">
        <f>ROUND(Source!U31, 7)</f>
        <v>64.457316000000006</v>
      </c>
      <c r="H69" s="46"/>
      <c r="I69" s="47"/>
      <c r="J69" s="46"/>
      <c r="K69" s="47"/>
      <c r="L69" s="46"/>
    </row>
    <row r="70" spans="1:56" ht="14.25">
      <c r="A70" s="57"/>
      <c r="B70" s="57"/>
      <c r="C70" s="57" t="s">
        <v>797</v>
      </c>
      <c r="D70" s="42"/>
      <c r="E70" s="38"/>
      <c r="F70" s="38"/>
      <c r="G70" s="38"/>
      <c r="H70" s="35">
        <f>H68</f>
        <v>1167.32</v>
      </c>
      <c r="I70" s="43"/>
      <c r="J70" s="35">
        <f>J68</f>
        <v>488.59</v>
      </c>
      <c r="K70" s="43"/>
      <c r="L70" s="35"/>
    </row>
    <row r="71" spans="1:56" ht="14.25">
      <c r="A71" s="57"/>
      <c r="B71" s="57"/>
      <c r="C71" s="57" t="s">
        <v>798</v>
      </c>
      <c r="D71" s="42"/>
      <c r="E71" s="38"/>
      <c r="F71" s="38"/>
      <c r="G71" s="38"/>
      <c r="H71" s="35"/>
      <c r="I71" s="43"/>
      <c r="J71" s="35">
        <f>SUM(Q65:Q74)+SUM(V65:V74)+SUM(X65:X74)+SUM(Y65:Y74)</f>
        <v>488.59</v>
      </c>
      <c r="K71" s="43"/>
      <c r="L71" s="35">
        <f>SUM(U65:U74)+SUM(W65:W74)+SUM(Z65:Z74)+SUM(AA65:AA74)</f>
        <v>14134.91</v>
      </c>
    </row>
    <row r="72" spans="1:56" ht="28.5">
      <c r="A72" s="57"/>
      <c r="B72" s="57" t="s">
        <v>24</v>
      </c>
      <c r="C72" s="57" t="s">
        <v>799</v>
      </c>
      <c r="D72" s="42" t="s">
        <v>800</v>
      </c>
      <c r="E72" s="38">
        <f>Source!BZ31</f>
        <v>89</v>
      </c>
      <c r="F72" s="38"/>
      <c r="G72" s="38">
        <f>Source!AT31</f>
        <v>89</v>
      </c>
      <c r="H72" s="35"/>
      <c r="I72" s="43"/>
      <c r="J72" s="35">
        <f>SUM(AG65:AG74)</f>
        <v>434.85</v>
      </c>
      <c r="K72" s="43"/>
      <c r="L72" s="35">
        <f>SUM(AH65:AH74)</f>
        <v>12580.07</v>
      </c>
    </row>
    <row r="73" spans="1:56" ht="28.5">
      <c r="A73" s="59"/>
      <c r="B73" s="59" t="s">
        <v>25</v>
      </c>
      <c r="C73" s="59" t="s">
        <v>801</v>
      </c>
      <c r="D73" s="44" t="s">
        <v>800</v>
      </c>
      <c r="E73" s="45">
        <f>Source!CA31</f>
        <v>40</v>
      </c>
      <c r="F73" s="45"/>
      <c r="G73" s="45">
        <f>Source!AU31</f>
        <v>40</v>
      </c>
      <c r="H73" s="46"/>
      <c r="I73" s="47"/>
      <c r="J73" s="46">
        <f>SUM(AI65:AI74)</f>
        <v>195.44</v>
      </c>
      <c r="K73" s="47"/>
      <c r="L73" s="46">
        <f>SUM(AJ65:AJ74)</f>
        <v>5653.96</v>
      </c>
    </row>
    <row r="74" spans="1:56" ht="15">
      <c r="C74" s="108" t="s">
        <v>802</v>
      </c>
      <c r="D74" s="108"/>
      <c r="E74" s="108"/>
      <c r="F74" s="108"/>
      <c r="G74" s="108"/>
      <c r="H74" s="108"/>
      <c r="I74" s="108">
        <f>J68+J72+J73</f>
        <v>1118.8800000000001</v>
      </c>
      <c r="J74" s="108"/>
      <c r="O74" s="33">
        <f>I74</f>
        <v>1118.8800000000001</v>
      </c>
      <c r="P74">
        <f>K74</f>
        <v>0</v>
      </c>
      <c r="Q74" s="33">
        <f>J68</f>
        <v>488.59</v>
      </c>
      <c r="R74" s="33">
        <f>J68</f>
        <v>488.59</v>
      </c>
      <c r="U74" s="33">
        <f>L68</f>
        <v>14134.91</v>
      </c>
      <c r="X74">
        <f>0</f>
        <v>0</v>
      </c>
      <c r="Z74">
        <f>0</f>
        <v>0</v>
      </c>
      <c r="AB74">
        <f>0</f>
        <v>0</v>
      </c>
      <c r="AD74">
        <f>0</f>
        <v>0</v>
      </c>
      <c r="AF74">
        <f>0</f>
        <v>0</v>
      </c>
      <c r="AN74">
        <f>IF(Source!BI31&lt;=1,J68+J72+J73, 0)</f>
        <v>1118.8800000000001</v>
      </c>
      <c r="AO74">
        <f>IF(Source!BI31&lt;=1,0, 0)</f>
        <v>0</v>
      </c>
      <c r="AP74">
        <f>IF(Source!BI31&lt;=1,0, 0)</f>
        <v>0</v>
      </c>
      <c r="AQ74">
        <f>IF(Source!BI31&lt;=1,J68, 0)</f>
        <v>488.59</v>
      </c>
      <c r="AX74">
        <f>IF(Source!BI31=2,J68+J72+J73, 0)</f>
        <v>0</v>
      </c>
      <c r="AY74">
        <f>IF(Source!BI31=2,0, 0)</f>
        <v>0</v>
      </c>
      <c r="AZ74">
        <f>IF(Source!BI31=2,0, 0)</f>
        <v>0</v>
      </c>
      <c r="BA74">
        <f>IF(Source!BI31=2,J68, 0)</f>
        <v>0</v>
      </c>
    </row>
    <row r="75" spans="1:56" ht="133.5">
      <c r="A75" s="57">
        <v>5</v>
      </c>
      <c r="B75" s="57" t="str">
        <f>Source!F32</f>
        <v>01-01-033-2</v>
      </c>
      <c r="C75" s="57" t="s">
        <v>811</v>
      </c>
      <c r="D75" s="42" t="str">
        <f>Source!H32</f>
        <v>1000 м3 грунта</v>
      </c>
      <c r="E75" s="38">
        <f>Source!K32</f>
        <v>6.0999999999999999E-2</v>
      </c>
      <c r="F75" s="38"/>
      <c r="G75" s="38">
        <f>Source!I32</f>
        <v>6.0999999999999999E-2</v>
      </c>
      <c r="H75" s="35"/>
      <c r="I75" s="43"/>
      <c r="J75" s="35"/>
      <c r="K75" s="43"/>
      <c r="L75" s="35"/>
      <c r="AG75">
        <f>Source!X32</f>
        <v>7.75</v>
      </c>
      <c r="AH75">
        <f>Source!HK32</f>
        <v>224.1</v>
      </c>
      <c r="AI75">
        <f>Source!Y32</f>
        <v>3.87</v>
      </c>
      <c r="AJ75">
        <f>Source!HL32</f>
        <v>112.05</v>
      </c>
      <c r="AS75">
        <f>IF(Source!BI32&lt;=1,AH75, 0)</f>
        <v>224.1</v>
      </c>
      <c r="AT75">
        <f>IF(Source!BI32&lt;=1,AJ75, 0)</f>
        <v>112.05</v>
      </c>
      <c r="BC75">
        <f>IF(Source!BI32=2,AH75, 0)</f>
        <v>0</v>
      </c>
      <c r="BD75">
        <f>IF(Source!BI32=2,AJ75, 0)</f>
        <v>0</v>
      </c>
    </row>
    <row r="77" spans="1:56">
      <c r="C77" s="32" t="str">
        <f>"Объем: "&amp;Source!K32&amp;"=61/"&amp;"1000"</f>
        <v>Объем: 0,061=61/1000</v>
      </c>
    </row>
    <row r="78" spans="1:56" ht="14.25">
      <c r="A78" s="57"/>
      <c r="B78" s="58">
        <v>3</v>
      </c>
      <c r="C78" s="57" t="s">
        <v>805</v>
      </c>
      <c r="D78" s="42"/>
      <c r="E78" s="38"/>
      <c r="F78" s="38"/>
      <c r="G78" s="38"/>
      <c r="H78" s="35">
        <f>Source!AM32</f>
        <v>567.41</v>
      </c>
      <c r="I78" s="43">
        <f>ROUND(1.2*1.15,7)</f>
        <v>1.38</v>
      </c>
      <c r="J78" s="35">
        <f>ROUND(Source!AD32*Source!I32, 2)</f>
        <v>47.76</v>
      </c>
      <c r="K78" s="43"/>
      <c r="L78" s="35"/>
    </row>
    <row r="79" spans="1:56" ht="14.25">
      <c r="A79" s="57"/>
      <c r="B79" s="58">
        <v>2</v>
      </c>
      <c r="C79" s="57" t="s">
        <v>806</v>
      </c>
      <c r="D79" s="42"/>
      <c r="E79" s="38"/>
      <c r="F79" s="38"/>
      <c r="G79" s="38"/>
      <c r="H79" s="35">
        <f>Source!AN32</f>
        <v>100.05</v>
      </c>
      <c r="I79" s="43">
        <f>ROUND(1.2*1.15,7)</f>
        <v>1.38</v>
      </c>
      <c r="J79" s="48">
        <f>ROUND(Source!AE32*Source!I32, 2)</f>
        <v>8.42</v>
      </c>
      <c r="K79" s="43">
        <f>IF(Source!BS32&lt;&gt; 0, Source!BS32, 1)</f>
        <v>28.93</v>
      </c>
      <c r="L79" s="48">
        <f>Source!HI32</f>
        <v>243.59</v>
      </c>
    </row>
    <row r="80" spans="1:56" ht="14.25">
      <c r="A80" s="57"/>
      <c r="B80" s="57"/>
      <c r="C80" s="59" t="s">
        <v>807</v>
      </c>
      <c r="D80" s="44" t="s">
        <v>796</v>
      </c>
      <c r="E80" s="45">
        <f>Source!AR32</f>
        <v>8.8699999999999992</v>
      </c>
      <c r="F80" s="45">
        <f>ROUND(1.2*1.15,7)</f>
        <v>1.38</v>
      </c>
      <c r="G80" s="45">
        <f>ROUND(Source!V32, 7)</f>
        <v>0.74667660000000002</v>
      </c>
      <c r="H80" s="46"/>
      <c r="I80" s="47"/>
      <c r="J80" s="46"/>
      <c r="K80" s="47"/>
      <c r="L80" s="46"/>
    </row>
    <row r="81" spans="1:56" ht="14.25">
      <c r="A81" s="57"/>
      <c r="B81" s="57"/>
      <c r="C81" s="57" t="s">
        <v>797</v>
      </c>
      <c r="D81" s="42"/>
      <c r="E81" s="38"/>
      <c r="F81" s="38"/>
      <c r="G81" s="38"/>
      <c r="H81" s="35">
        <f>H78</f>
        <v>567.41</v>
      </c>
      <c r="I81" s="43"/>
      <c r="J81" s="35">
        <f>J78</f>
        <v>47.76</v>
      </c>
      <c r="K81" s="43"/>
      <c r="L81" s="35"/>
    </row>
    <row r="82" spans="1:56" ht="14.25">
      <c r="A82" s="57"/>
      <c r="B82" s="57"/>
      <c r="C82" s="57" t="s">
        <v>798</v>
      </c>
      <c r="D82" s="42"/>
      <c r="E82" s="38"/>
      <c r="F82" s="38"/>
      <c r="G82" s="38"/>
      <c r="H82" s="35"/>
      <c r="I82" s="43"/>
      <c r="J82" s="35">
        <f>SUM(Q75:Q85)+SUM(V75:V85)+SUM(X75:X85)+SUM(Y75:Y85)</f>
        <v>8.42</v>
      </c>
      <c r="K82" s="43"/>
      <c r="L82" s="35">
        <f>SUM(U75:U85)+SUM(W75:W85)+SUM(Z75:Z85)+SUM(AA75:AA85)</f>
        <v>243.59</v>
      </c>
    </row>
    <row r="83" spans="1:56" ht="28.5">
      <c r="A83" s="57"/>
      <c r="B83" s="57" t="s">
        <v>36</v>
      </c>
      <c r="C83" s="57" t="s">
        <v>808</v>
      </c>
      <c r="D83" s="42" t="s">
        <v>800</v>
      </c>
      <c r="E83" s="38">
        <f>Source!BZ32</f>
        <v>92</v>
      </c>
      <c r="F83" s="38"/>
      <c r="G83" s="38">
        <f>Source!AT32</f>
        <v>92</v>
      </c>
      <c r="H83" s="35"/>
      <c r="I83" s="43"/>
      <c r="J83" s="35">
        <f>SUM(AG75:AG85)</f>
        <v>7.75</v>
      </c>
      <c r="K83" s="43"/>
      <c r="L83" s="35">
        <f>SUM(AH75:AH85)</f>
        <v>224.1</v>
      </c>
    </row>
    <row r="84" spans="1:56" ht="28.5">
      <c r="A84" s="59"/>
      <c r="B84" s="59" t="s">
        <v>37</v>
      </c>
      <c r="C84" s="59" t="s">
        <v>809</v>
      </c>
      <c r="D84" s="44" t="s">
        <v>800</v>
      </c>
      <c r="E84" s="45">
        <f>Source!CA32</f>
        <v>46</v>
      </c>
      <c r="F84" s="45"/>
      <c r="G84" s="45">
        <f>Source!AU32</f>
        <v>46</v>
      </c>
      <c r="H84" s="46"/>
      <c r="I84" s="47"/>
      <c r="J84" s="46">
        <f>SUM(AI75:AI85)</f>
        <v>3.87</v>
      </c>
      <c r="K84" s="47"/>
      <c r="L84" s="46">
        <f>SUM(AJ75:AJ85)</f>
        <v>112.05</v>
      </c>
    </row>
    <row r="85" spans="1:56" ht="15">
      <c r="C85" s="108" t="s">
        <v>802</v>
      </c>
      <c r="D85" s="108"/>
      <c r="E85" s="108"/>
      <c r="F85" s="108"/>
      <c r="G85" s="108"/>
      <c r="H85" s="108"/>
      <c r="I85" s="108">
        <f>J78+J83+J84</f>
        <v>59.379999999999995</v>
      </c>
      <c r="J85" s="108"/>
      <c r="O85" s="33">
        <f>I85</f>
        <v>59.379999999999995</v>
      </c>
      <c r="P85">
        <f>K85</f>
        <v>0</v>
      </c>
      <c r="Q85">
        <f>0</f>
        <v>0</v>
      </c>
      <c r="R85">
        <f>0</f>
        <v>0</v>
      </c>
      <c r="U85">
        <f>0</f>
        <v>0</v>
      </c>
      <c r="X85" s="33">
        <f>J79</f>
        <v>8.42</v>
      </c>
      <c r="Z85" s="33">
        <f>L79</f>
        <v>243.59</v>
      </c>
      <c r="AB85" s="33">
        <f>J78</f>
        <v>47.76</v>
      </c>
      <c r="AD85" s="33">
        <f>L78</f>
        <v>0</v>
      </c>
      <c r="AF85">
        <f>0</f>
        <v>0</v>
      </c>
      <c r="AN85">
        <f>IF(Source!BI32&lt;=1,J78+J83+J84, 0)</f>
        <v>59.379999999999995</v>
      </c>
      <c r="AO85">
        <f>IF(Source!BI32&lt;=1,0, 0)</f>
        <v>0</v>
      </c>
      <c r="AP85">
        <f>IF(Source!BI32&lt;=1,J78, 0)</f>
        <v>47.76</v>
      </c>
      <c r="AQ85">
        <f>IF(Source!BI32&lt;=1,0, 0)</f>
        <v>0</v>
      </c>
      <c r="AX85">
        <f>IF(Source!BI32=2,J78+J83+J84, 0)</f>
        <v>0</v>
      </c>
      <c r="AY85">
        <f>IF(Source!BI32=2,0, 0)</f>
        <v>0</v>
      </c>
      <c r="AZ85">
        <f>IF(Source!BI32=2,J78, 0)</f>
        <v>0</v>
      </c>
      <c r="BA85">
        <f>IF(Source!BI32=2,0, 0)</f>
        <v>0</v>
      </c>
    </row>
    <row r="86" spans="1:56" ht="105">
      <c r="A86" s="57">
        <v>6</v>
      </c>
      <c r="B86" s="57" t="str">
        <f>Source!F33</f>
        <v>01-02-061-1</v>
      </c>
      <c r="C86" s="57" t="s">
        <v>803</v>
      </c>
      <c r="D86" s="42" t="str">
        <f>Source!H33</f>
        <v>100 м3 грунта</v>
      </c>
      <c r="E86" s="38">
        <f>Source!K33</f>
        <v>7.22E-2</v>
      </c>
      <c r="F86" s="38"/>
      <c r="G86" s="38">
        <f>Source!I33</f>
        <v>7.22E-2</v>
      </c>
      <c r="H86" s="35"/>
      <c r="I86" s="43"/>
      <c r="J86" s="35"/>
      <c r="K86" s="43"/>
      <c r="L86" s="35"/>
      <c r="AG86">
        <f>Source!X33</f>
        <v>57.21</v>
      </c>
      <c r="AH86">
        <f>Source!HK33</f>
        <v>1655.06</v>
      </c>
      <c r="AI86">
        <f>Source!Y33</f>
        <v>25.71</v>
      </c>
      <c r="AJ86">
        <f>Source!HL33</f>
        <v>743.85</v>
      </c>
      <c r="AS86">
        <f>IF(Source!BI33&lt;=1,AH86, 0)</f>
        <v>1655.06</v>
      </c>
      <c r="AT86">
        <f>IF(Source!BI33&lt;=1,AJ86, 0)</f>
        <v>743.85</v>
      </c>
      <c r="BC86">
        <f>IF(Source!BI33=2,AH86, 0)</f>
        <v>0</v>
      </c>
      <c r="BD86">
        <f>IF(Source!BI33=2,AJ86, 0)</f>
        <v>0</v>
      </c>
    </row>
    <row r="88" spans="1:56">
      <c r="C88" s="32" t="str">
        <f>"Объем: "&amp;Source!K33&amp;"=7,22/"&amp;"100"</f>
        <v>Объем: 0,0722=7,22/100</v>
      </c>
    </row>
    <row r="89" spans="1:56" ht="14.25">
      <c r="A89" s="57"/>
      <c r="B89" s="58">
        <v>1</v>
      </c>
      <c r="C89" s="57" t="s">
        <v>794</v>
      </c>
      <c r="D89" s="42"/>
      <c r="E89" s="38"/>
      <c r="F89" s="38"/>
      <c r="G89" s="38"/>
      <c r="H89" s="35">
        <f>Source!AO33</f>
        <v>645.16999999999996</v>
      </c>
      <c r="I89" s="43">
        <f>ROUND(1.2*1.15,7)</f>
        <v>1.38</v>
      </c>
      <c r="J89" s="35">
        <f>ROUND(Source!AF33*Source!I33, 2)</f>
        <v>64.28</v>
      </c>
      <c r="K89" s="43">
        <f>IF(Source!BA33&lt;&gt; 0, Source!BA33, 1)</f>
        <v>28.93</v>
      </c>
      <c r="L89" s="35">
        <f>Source!HJ33</f>
        <v>1859.62</v>
      </c>
    </row>
    <row r="90" spans="1:56" ht="14.25">
      <c r="A90" s="57"/>
      <c r="B90" s="57"/>
      <c r="C90" s="59" t="s">
        <v>795</v>
      </c>
      <c r="D90" s="44" t="s">
        <v>796</v>
      </c>
      <c r="E90" s="45">
        <f>Source!AQ33</f>
        <v>88.5</v>
      </c>
      <c r="F90" s="45">
        <f>ROUND(1.2*1.15,7)</f>
        <v>1.38</v>
      </c>
      <c r="G90" s="45">
        <f>ROUND(Source!U33, 7)</f>
        <v>8.8177859999999999</v>
      </c>
      <c r="H90" s="46"/>
      <c r="I90" s="47"/>
      <c r="J90" s="46"/>
      <c r="K90" s="47"/>
      <c r="L90" s="46"/>
    </row>
    <row r="91" spans="1:56" ht="14.25">
      <c r="A91" s="57"/>
      <c r="B91" s="57"/>
      <c r="C91" s="57" t="s">
        <v>797</v>
      </c>
      <c r="D91" s="42"/>
      <c r="E91" s="38"/>
      <c r="F91" s="38"/>
      <c r="G91" s="38"/>
      <c r="H91" s="35">
        <f>H89</f>
        <v>645.16999999999996</v>
      </c>
      <c r="I91" s="43"/>
      <c r="J91" s="35">
        <f>J89</f>
        <v>64.28</v>
      </c>
      <c r="K91" s="43"/>
      <c r="L91" s="35"/>
    </row>
    <row r="92" spans="1:56" ht="14.25">
      <c r="A92" s="57"/>
      <c r="B92" s="57"/>
      <c r="C92" s="57" t="s">
        <v>798</v>
      </c>
      <c r="D92" s="42"/>
      <c r="E92" s="38"/>
      <c r="F92" s="38"/>
      <c r="G92" s="38"/>
      <c r="H92" s="35"/>
      <c r="I92" s="43"/>
      <c r="J92" s="35">
        <f>SUM(Q86:Q95)+SUM(V86:V95)+SUM(X86:X95)+SUM(Y86:Y95)</f>
        <v>64.28</v>
      </c>
      <c r="K92" s="43"/>
      <c r="L92" s="35">
        <f>SUM(U86:U95)+SUM(W86:W95)+SUM(Z86:Z95)+SUM(AA86:AA95)</f>
        <v>1859.62</v>
      </c>
    </row>
    <row r="93" spans="1:56" ht="28.5">
      <c r="A93" s="57"/>
      <c r="B93" s="57" t="s">
        <v>24</v>
      </c>
      <c r="C93" s="57" t="s">
        <v>799</v>
      </c>
      <c r="D93" s="42" t="s">
        <v>800</v>
      </c>
      <c r="E93" s="38">
        <f>Source!BZ33</f>
        <v>89</v>
      </c>
      <c r="F93" s="38"/>
      <c r="G93" s="38">
        <f>Source!AT33</f>
        <v>89</v>
      </c>
      <c r="H93" s="35"/>
      <c r="I93" s="43"/>
      <c r="J93" s="35">
        <f>SUM(AG86:AG95)</f>
        <v>57.21</v>
      </c>
      <c r="K93" s="43"/>
      <c r="L93" s="35">
        <f>SUM(AH86:AH95)</f>
        <v>1655.06</v>
      </c>
    </row>
    <row r="94" spans="1:56" ht="28.5">
      <c r="A94" s="59"/>
      <c r="B94" s="59" t="s">
        <v>25</v>
      </c>
      <c r="C94" s="59" t="s">
        <v>801</v>
      </c>
      <c r="D94" s="44" t="s">
        <v>800</v>
      </c>
      <c r="E94" s="45">
        <f>Source!CA33</f>
        <v>40</v>
      </c>
      <c r="F94" s="45"/>
      <c r="G94" s="45">
        <f>Source!AU33</f>
        <v>40</v>
      </c>
      <c r="H94" s="46"/>
      <c r="I94" s="47"/>
      <c r="J94" s="46">
        <f>SUM(AI86:AI95)</f>
        <v>25.71</v>
      </c>
      <c r="K94" s="47"/>
      <c r="L94" s="46">
        <f>SUM(AJ86:AJ95)</f>
        <v>743.85</v>
      </c>
    </row>
    <row r="95" spans="1:56" ht="15">
      <c r="C95" s="108" t="s">
        <v>802</v>
      </c>
      <c r="D95" s="108"/>
      <c r="E95" s="108"/>
      <c r="F95" s="108"/>
      <c r="G95" s="108"/>
      <c r="H95" s="108"/>
      <c r="I95" s="108">
        <f>J89+J93+J94</f>
        <v>147.20000000000002</v>
      </c>
      <c r="J95" s="108"/>
      <c r="O95" s="33">
        <f>I95</f>
        <v>147.20000000000002</v>
      </c>
      <c r="P95">
        <f>K95</f>
        <v>0</v>
      </c>
      <c r="Q95" s="33">
        <f>J89</f>
        <v>64.28</v>
      </c>
      <c r="R95" s="33">
        <f>J89</f>
        <v>64.28</v>
      </c>
      <c r="U95" s="33">
        <f>L89</f>
        <v>1859.62</v>
      </c>
      <c r="X95">
        <f>0</f>
        <v>0</v>
      </c>
      <c r="Z95">
        <f>0</f>
        <v>0</v>
      </c>
      <c r="AB95">
        <f>0</f>
        <v>0</v>
      </c>
      <c r="AD95">
        <f>0</f>
        <v>0</v>
      </c>
      <c r="AF95">
        <f>0</f>
        <v>0</v>
      </c>
      <c r="AN95">
        <f>IF(Source!BI33&lt;=1,J89+J93+J94, 0)</f>
        <v>147.20000000000002</v>
      </c>
      <c r="AO95">
        <f>IF(Source!BI33&lt;=1,0, 0)</f>
        <v>0</v>
      </c>
      <c r="AP95">
        <f>IF(Source!BI33&lt;=1,0, 0)</f>
        <v>0</v>
      </c>
      <c r="AQ95">
        <f>IF(Source!BI33&lt;=1,J89, 0)</f>
        <v>64.28</v>
      </c>
      <c r="AX95">
        <f>IF(Source!BI33=2,J89+J93+J94, 0)</f>
        <v>0</v>
      </c>
      <c r="AY95">
        <f>IF(Source!BI33=2,0, 0)</f>
        <v>0</v>
      </c>
      <c r="AZ95">
        <f>IF(Source!BI33=2,0, 0)</f>
        <v>0</v>
      </c>
      <c r="BA95">
        <f>IF(Source!BI33=2,J89, 0)</f>
        <v>0</v>
      </c>
    </row>
    <row r="96" spans="1:56" ht="42.75">
      <c r="A96" s="57">
        <v>7</v>
      </c>
      <c r="B96" s="57" t="str">
        <f>Source!F34</f>
        <v>т01-01-01-039</v>
      </c>
      <c r="C96" s="57" t="str">
        <f>Source!G34</f>
        <v>Погрузка при автомобильных перевозках грунта растительного слоя (земля, перегной)</v>
      </c>
      <c r="D96" s="42" t="str">
        <f>Source!H34</f>
        <v>1 Т ГРУЗА</v>
      </c>
      <c r="E96" s="38">
        <f>Source!K34</f>
        <v>59.69</v>
      </c>
      <c r="F96" s="38"/>
      <c r="G96" s="38">
        <f>Source!I34</f>
        <v>59.69</v>
      </c>
      <c r="H96" s="35"/>
      <c r="I96" s="43"/>
      <c r="J96" s="35"/>
      <c r="K96" s="43"/>
      <c r="L96" s="35"/>
      <c r="AG96">
        <f>Source!X34</f>
        <v>0</v>
      </c>
      <c r="AH96">
        <f>Source!HK34</f>
        <v>0</v>
      </c>
      <c r="AI96">
        <f>Source!Y34</f>
        <v>0</v>
      </c>
      <c r="AJ96">
        <f>Source!HL34</f>
        <v>0</v>
      </c>
      <c r="AS96">
        <f>IF(Source!BI34&lt;=1,AH96, 0)</f>
        <v>0</v>
      </c>
      <c r="AT96">
        <f>IF(Source!BI34&lt;=1,AJ96, 0)</f>
        <v>0</v>
      </c>
      <c r="BC96">
        <f>IF(Source!BI34=2,AH96, 0)</f>
        <v>0</v>
      </c>
      <c r="BD96">
        <f>IF(Source!BI34=2,AJ96, 0)</f>
        <v>0</v>
      </c>
    </row>
    <row r="98" spans="1:61" ht="14.25">
      <c r="A98" s="57"/>
      <c r="B98" s="58">
        <v>3</v>
      </c>
      <c r="C98" s="57" t="s">
        <v>805</v>
      </c>
      <c r="D98" s="42"/>
      <c r="E98" s="38"/>
      <c r="F98" s="38"/>
      <c r="G98" s="38"/>
      <c r="H98" s="35">
        <f>Source!AM34</f>
        <v>4.72</v>
      </c>
      <c r="I98" s="43"/>
      <c r="J98" s="35">
        <f>ROUND(Source!AD34*Source!I34, 2)</f>
        <v>281.74</v>
      </c>
      <c r="K98" s="43"/>
      <c r="L98" s="35"/>
    </row>
    <row r="99" spans="1:61" ht="14.25">
      <c r="A99" s="57"/>
      <c r="B99" s="57"/>
      <c r="C99" s="59" t="s">
        <v>807</v>
      </c>
      <c r="D99" s="44" t="s">
        <v>796</v>
      </c>
      <c r="E99" s="45">
        <f>Source!AR34</f>
        <v>2.9000000000000001E-2</v>
      </c>
      <c r="F99" s="45"/>
      <c r="G99" s="45">
        <f>ROUND(Source!V34, 7)</f>
        <v>1.7310099999999999</v>
      </c>
      <c r="H99" s="46"/>
      <c r="I99" s="47"/>
      <c r="J99" s="46"/>
      <c r="K99" s="47"/>
      <c r="L99" s="46"/>
    </row>
    <row r="100" spans="1:61" ht="14.25">
      <c r="A100" s="59"/>
      <c r="B100" s="59"/>
      <c r="C100" s="59" t="s">
        <v>797</v>
      </c>
      <c r="D100" s="44"/>
      <c r="E100" s="45"/>
      <c r="F100" s="45"/>
      <c r="G100" s="45"/>
      <c r="H100" s="46">
        <f>H98</f>
        <v>4.72</v>
      </c>
      <c r="I100" s="47"/>
      <c r="J100" s="46">
        <f>J98</f>
        <v>281.74</v>
      </c>
      <c r="K100" s="47"/>
      <c r="L100" s="46"/>
    </row>
    <row r="101" spans="1:61" ht="15">
      <c r="C101" s="108" t="s">
        <v>802</v>
      </c>
      <c r="D101" s="108"/>
      <c r="E101" s="108"/>
      <c r="F101" s="108"/>
      <c r="G101" s="108"/>
      <c r="H101" s="108"/>
      <c r="I101" s="108">
        <f>J98</f>
        <v>281.74</v>
      </c>
      <c r="J101" s="108"/>
      <c r="O101" s="33">
        <f>I101</f>
        <v>281.74</v>
      </c>
      <c r="P101">
        <f>K101</f>
        <v>0</v>
      </c>
      <c r="R101">
        <f>0</f>
        <v>0</v>
      </c>
      <c r="V101">
        <f>0</f>
        <v>0</v>
      </c>
      <c r="W101">
        <f>0</f>
        <v>0</v>
      </c>
      <c r="Y101">
        <f>0</f>
        <v>0</v>
      </c>
      <c r="AA101">
        <f>0</f>
        <v>0</v>
      </c>
      <c r="AC101" s="33">
        <f>J98</f>
        <v>281.74</v>
      </c>
      <c r="AE101" s="33">
        <f>L98</f>
        <v>0</v>
      </c>
      <c r="AF101">
        <f>0</f>
        <v>0</v>
      </c>
      <c r="AO101">
        <f>IF(Source!BI34&lt;=1,0, 0)</f>
        <v>0</v>
      </c>
      <c r="AR101">
        <f>IF(Source!BI34&lt;=1,J98, 0)</f>
        <v>281.74</v>
      </c>
      <c r="AY101">
        <f>IF(Source!BI34=2,0, 0)</f>
        <v>0</v>
      </c>
      <c r="BB101">
        <f>IF(Source!BI34=2,J98, 0)</f>
        <v>0</v>
      </c>
      <c r="BI101">
        <f>IF(Source!BI34=3,J98, 0)</f>
        <v>0</v>
      </c>
    </row>
    <row r="102" spans="1:61" ht="57">
      <c r="A102" s="57">
        <v>8</v>
      </c>
      <c r="B102" s="57" t="str">
        <f>Source!F35</f>
        <v>т03-21-01-015</v>
      </c>
      <c r="C102" s="57" t="str">
        <f>Source!G35</f>
        <v>Перевозка грузов I класса автомобилями-самосвалами грузоподъемностью 10 т работающих вне карьера на расстояние до 15 км</v>
      </c>
      <c r="D102" s="42" t="str">
        <f>Source!H35</f>
        <v>1 Т ГРУЗА</v>
      </c>
      <c r="E102" s="38">
        <f>Source!K35</f>
        <v>59.69</v>
      </c>
      <c r="F102" s="38"/>
      <c r="G102" s="38">
        <f>Source!I35</f>
        <v>59.69</v>
      </c>
      <c r="H102" s="35"/>
      <c r="I102" s="43"/>
      <c r="J102" s="35"/>
      <c r="K102" s="43"/>
      <c r="L102" s="35"/>
      <c r="AG102">
        <f>Source!X35</f>
        <v>0</v>
      </c>
      <c r="AH102">
        <f>Source!HK35</f>
        <v>0</v>
      </c>
      <c r="AI102">
        <f>Source!Y35</f>
        <v>0</v>
      </c>
      <c r="AJ102">
        <f>Source!HL35</f>
        <v>0</v>
      </c>
      <c r="AS102">
        <f>IF(Source!BI35&lt;=1,AH102, 0)</f>
        <v>0</v>
      </c>
      <c r="AT102">
        <f>IF(Source!BI35&lt;=1,AJ102, 0)</f>
        <v>0</v>
      </c>
      <c r="BC102">
        <f>IF(Source!BI35=2,AH102, 0)</f>
        <v>0</v>
      </c>
      <c r="BD102">
        <f>IF(Source!BI35=2,AJ102, 0)</f>
        <v>0</v>
      </c>
    </row>
    <row r="104" spans="1:61" ht="14.25">
      <c r="A104" s="57"/>
      <c r="B104" s="58">
        <v>3</v>
      </c>
      <c r="C104" s="59" t="s">
        <v>805</v>
      </c>
      <c r="D104" s="44"/>
      <c r="E104" s="45"/>
      <c r="F104" s="45"/>
      <c r="G104" s="45"/>
      <c r="H104" s="46">
        <f>Source!AM35</f>
        <v>12.57</v>
      </c>
      <c r="I104" s="47"/>
      <c r="J104" s="46">
        <f>ROUND(Source!AD35*Source!I35, 2)</f>
        <v>750.3</v>
      </c>
      <c r="K104" s="47"/>
      <c r="L104" s="46"/>
    </row>
    <row r="105" spans="1:61" ht="14.25">
      <c r="A105" s="59"/>
      <c r="B105" s="59"/>
      <c r="C105" s="59" t="s">
        <v>797</v>
      </c>
      <c r="D105" s="44"/>
      <c r="E105" s="45"/>
      <c r="F105" s="45"/>
      <c r="G105" s="45"/>
      <c r="H105" s="46">
        <f>H104</f>
        <v>12.57</v>
      </c>
      <c r="I105" s="47"/>
      <c r="J105" s="46">
        <f>J104</f>
        <v>750.3</v>
      </c>
      <c r="K105" s="47"/>
      <c r="L105" s="46"/>
    </row>
    <row r="106" spans="1:61" ht="15">
      <c r="C106" s="108" t="s">
        <v>802</v>
      </c>
      <c r="D106" s="108"/>
      <c r="E106" s="108"/>
      <c r="F106" s="108"/>
      <c r="G106" s="108"/>
      <c r="H106" s="108"/>
      <c r="I106" s="108">
        <f>J104</f>
        <v>750.3</v>
      </c>
      <c r="J106" s="108"/>
      <c r="O106" s="33">
        <f>I106</f>
        <v>750.3</v>
      </c>
      <c r="P106">
        <f>K106</f>
        <v>0</v>
      </c>
      <c r="R106">
        <f>0</f>
        <v>0</v>
      </c>
      <c r="V106">
        <f>0</f>
        <v>0</v>
      </c>
      <c r="W106">
        <f>0</f>
        <v>0</v>
      </c>
      <c r="Y106">
        <f>0</f>
        <v>0</v>
      </c>
      <c r="AA106">
        <f>0</f>
        <v>0</v>
      </c>
      <c r="AC106" s="33">
        <f>J104</f>
        <v>750.3</v>
      </c>
      <c r="AE106" s="33">
        <f>L104</f>
        <v>0</v>
      </c>
      <c r="AF106">
        <f>0</f>
        <v>0</v>
      </c>
      <c r="AO106">
        <f>IF(Source!BI35&lt;=1,0, 0)</f>
        <v>0</v>
      </c>
      <c r="AR106">
        <f>IF(Source!BI35&lt;=1,J104, 0)</f>
        <v>750.3</v>
      </c>
      <c r="AY106">
        <f>IF(Source!BI35=2,0, 0)</f>
        <v>0</v>
      </c>
      <c r="BB106">
        <f>IF(Source!BI35=2,J104, 0)</f>
        <v>0</v>
      </c>
      <c r="BI106">
        <f>IF(Source!BI35=3,J104, 0)</f>
        <v>0</v>
      </c>
    </row>
    <row r="107" spans="1:61" ht="119.25">
      <c r="A107" s="57">
        <v>9</v>
      </c>
      <c r="B107" s="57" t="str">
        <f>Source!F36</f>
        <v>22-01-021-5</v>
      </c>
      <c r="C107" s="57" t="s">
        <v>812</v>
      </c>
      <c r="D107" s="42" t="str">
        <f>Source!H36</f>
        <v>1 км трубопровода</v>
      </c>
      <c r="E107" s="38">
        <f>Source!K36</f>
        <v>8.9999999999999993E-3</v>
      </c>
      <c r="F107" s="38"/>
      <c r="G107" s="38">
        <f>Source!I36</f>
        <v>8.9999999999999993E-3</v>
      </c>
      <c r="H107" s="35"/>
      <c r="I107" s="43"/>
      <c r="J107" s="35"/>
      <c r="K107" s="43"/>
      <c r="L107" s="35"/>
      <c r="AG107">
        <f>Source!X36</f>
        <v>45.29</v>
      </c>
      <c r="AH107">
        <f>Source!HK36</f>
        <v>1310.26</v>
      </c>
      <c r="AI107">
        <f>Source!Y36</f>
        <v>28.65</v>
      </c>
      <c r="AJ107">
        <f>Source!HL36</f>
        <v>828.71</v>
      </c>
      <c r="AS107">
        <f>IF(Source!BI36&lt;=1,AH107, 0)</f>
        <v>1310.26</v>
      </c>
      <c r="AT107">
        <f>IF(Source!BI36&lt;=1,AJ107, 0)</f>
        <v>828.71</v>
      </c>
      <c r="BC107">
        <f>IF(Source!BI36=2,AH107, 0)</f>
        <v>0</v>
      </c>
      <c r="BD107">
        <f>IF(Source!BI36=2,AJ107, 0)</f>
        <v>0</v>
      </c>
    </row>
    <row r="109" spans="1:61" ht="14.25">
      <c r="A109" s="57"/>
      <c r="B109" s="58">
        <v>1</v>
      </c>
      <c r="C109" s="57" t="s">
        <v>794</v>
      </c>
      <c r="D109" s="42"/>
      <c r="E109" s="38"/>
      <c r="F109" s="38"/>
      <c r="G109" s="38"/>
      <c r="H109" s="35">
        <f>Source!AO36</f>
        <v>2558.62</v>
      </c>
      <c r="I109" s="43">
        <f>ROUND(1.15*1.2,7)</f>
        <v>1.38</v>
      </c>
      <c r="J109" s="35">
        <f>ROUND(Source!AF36*Source!I36, 2)</f>
        <v>31.78</v>
      </c>
      <c r="K109" s="43">
        <f>IF(Source!BA36&lt;&gt; 0, Source!BA36, 1)</f>
        <v>28.93</v>
      </c>
      <c r="L109" s="35">
        <f>Source!HJ36</f>
        <v>919.4</v>
      </c>
    </row>
    <row r="110" spans="1:61" ht="14.25">
      <c r="A110" s="57"/>
      <c r="B110" s="58">
        <v>3</v>
      </c>
      <c r="C110" s="57" t="s">
        <v>805</v>
      </c>
      <c r="D110" s="42"/>
      <c r="E110" s="38"/>
      <c r="F110" s="38"/>
      <c r="G110" s="38"/>
      <c r="H110" s="35">
        <f>Source!AM36</f>
        <v>5323.05</v>
      </c>
      <c r="I110" s="43">
        <f>ROUND(1.15*1.2,7)</f>
        <v>1.38</v>
      </c>
      <c r="J110" s="35">
        <f>ROUND(Source!AD36*Source!I36, 2)</f>
        <v>66.11</v>
      </c>
      <c r="K110" s="43"/>
      <c r="L110" s="35"/>
    </row>
    <row r="111" spans="1:61" ht="14.25">
      <c r="A111" s="57"/>
      <c r="B111" s="58">
        <v>2</v>
      </c>
      <c r="C111" s="57" t="s">
        <v>806</v>
      </c>
      <c r="D111" s="42"/>
      <c r="E111" s="38"/>
      <c r="F111" s="38"/>
      <c r="G111" s="38"/>
      <c r="H111" s="35">
        <f>Source!AN36</f>
        <v>557.78</v>
      </c>
      <c r="I111" s="43">
        <f>ROUND(1.15*1.2,7)</f>
        <v>1.38</v>
      </c>
      <c r="J111" s="48">
        <f>ROUND(Source!AE36*Source!I36, 2)</f>
        <v>6.93</v>
      </c>
      <c r="K111" s="43">
        <f>IF(Source!BS36&lt;&gt; 0, Source!BS36, 1)</f>
        <v>28.93</v>
      </c>
      <c r="L111" s="48">
        <f>Source!HI36</f>
        <v>200.48</v>
      </c>
    </row>
    <row r="112" spans="1:61" ht="14.25">
      <c r="A112" s="57"/>
      <c r="B112" s="58">
        <v>4</v>
      </c>
      <c r="C112" s="57" t="s">
        <v>813</v>
      </c>
      <c r="D112" s="42"/>
      <c r="E112" s="38"/>
      <c r="F112" s="38"/>
      <c r="G112" s="38"/>
      <c r="H112" s="35">
        <f>Source!AL36</f>
        <v>159128.16</v>
      </c>
      <c r="I112" s="43"/>
      <c r="J112" s="35">
        <f>ROUND(Source!AC36*Source!I36, 2)</f>
        <v>1432.15</v>
      </c>
      <c r="K112" s="43"/>
      <c r="L112" s="35"/>
    </row>
    <row r="113" spans="1:56" ht="14.25">
      <c r="A113" s="57"/>
      <c r="B113" s="57"/>
      <c r="C113" s="57" t="s">
        <v>795</v>
      </c>
      <c r="D113" s="42" t="s">
        <v>796</v>
      </c>
      <c r="E113" s="38">
        <f>Source!AQ36</f>
        <v>286.52</v>
      </c>
      <c r="F113" s="38">
        <f>ROUND(1.15*1.2,7)</f>
        <v>1.38</v>
      </c>
      <c r="G113" s="38">
        <f>ROUND(Source!U36, 7)</f>
        <v>3.5585784</v>
      </c>
      <c r="H113" s="35"/>
      <c r="I113" s="43"/>
      <c r="J113" s="35"/>
      <c r="K113" s="43"/>
      <c r="L113" s="35"/>
    </row>
    <row r="114" spans="1:56" ht="14.25">
      <c r="A114" s="57"/>
      <c r="B114" s="57"/>
      <c r="C114" s="59" t="s">
        <v>807</v>
      </c>
      <c r="D114" s="44" t="s">
        <v>796</v>
      </c>
      <c r="E114" s="45">
        <f>Source!AR36</f>
        <v>43.94</v>
      </c>
      <c r="F114" s="45">
        <f>ROUND(1.15*1.2,7)</f>
        <v>1.38</v>
      </c>
      <c r="G114" s="45">
        <f>ROUND(Source!V36, 7)</f>
        <v>0.54573479999999996</v>
      </c>
      <c r="H114" s="46"/>
      <c r="I114" s="47"/>
      <c r="J114" s="46"/>
      <c r="K114" s="47"/>
      <c r="L114" s="46"/>
    </row>
    <row r="115" spans="1:56" ht="14.25">
      <c r="A115" s="57"/>
      <c r="B115" s="57"/>
      <c r="C115" s="57" t="s">
        <v>797</v>
      </c>
      <c r="D115" s="42"/>
      <c r="E115" s="38"/>
      <c r="F115" s="38"/>
      <c r="G115" s="38"/>
      <c r="H115" s="35">
        <f>H109+H110+H112</f>
        <v>167009.83000000002</v>
      </c>
      <c r="I115" s="43"/>
      <c r="J115" s="35">
        <f>J109+J110+J112</f>
        <v>1530.0400000000002</v>
      </c>
      <c r="K115" s="43"/>
      <c r="L115" s="35"/>
    </row>
    <row r="116" spans="1:56" ht="14.25">
      <c r="A116" s="57"/>
      <c r="B116" s="57"/>
      <c r="C116" s="57" t="s">
        <v>798</v>
      </c>
      <c r="D116" s="42"/>
      <c r="E116" s="38"/>
      <c r="F116" s="38"/>
      <c r="G116" s="38"/>
      <c r="H116" s="35"/>
      <c r="I116" s="43"/>
      <c r="J116" s="35">
        <f>SUM(Q107:Q119)+SUM(V107:V119)+SUM(X107:X119)+SUM(Y107:Y119)</f>
        <v>38.71</v>
      </c>
      <c r="K116" s="43"/>
      <c r="L116" s="35">
        <f>SUM(U107:U119)+SUM(W107:W119)+SUM(Z107:Z119)+SUM(AA107:AA119)</f>
        <v>1119.8799999999999</v>
      </c>
    </row>
    <row r="117" spans="1:56" ht="42.75">
      <c r="A117" s="57"/>
      <c r="B117" s="57" t="s">
        <v>69</v>
      </c>
      <c r="C117" s="57" t="s">
        <v>814</v>
      </c>
      <c r="D117" s="42" t="s">
        <v>800</v>
      </c>
      <c r="E117" s="38">
        <f>Source!BZ36</f>
        <v>117</v>
      </c>
      <c r="F117" s="38"/>
      <c r="G117" s="38">
        <f>Source!AT36</f>
        <v>117</v>
      </c>
      <c r="H117" s="35"/>
      <c r="I117" s="43"/>
      <c r="J117" s="35">
        <f>SUM(AG107:AG119)</f>
        <v>45.29</v>
      </c>
      <c r="K117" s="43"/>
      <c r="L117" s="35">
        <f>SUM(AH107:AH119)</f>
        <v>1310.26</v>
      </c>
    </row>
    <row r="118" spans="1:56" ht="42.75">
      <c r="A118" s="59"/>
      <c r="B118" s="59" t="s">
        <v>70</v>
      </c>
      <c r="C118" s="59" t="s">
        <v>815</v>
      </c>
      <c r="D118" s="44" t="s">
        <v>800</v>
      </c>
      <c r="E118" s="45">
        <f>Source!CA36</f>
        <v>74</v>
      </c>
      <c r="F118" s="45"/>
      <c r="G118" s="45">
        <f>Source!AU36</f>
        <v>74</v>
      </c>
      <c r="H118" s="46"/>
      <c r="I118" s="47"/>
      <c r="J118" s="46">
        <f>SUM(AI107:AI119)</f>
        <v>28.65</v>
      </c>
      <c r="K118" s="47"/>
      <c r="L118" s="46">
        <f>SUM(AJ107:AJ119)</f>
        <v>828.71</v>
      </c>
    </row>
    <row r="119" spans="1:56" ht="15">
      <c r="C119" s="108" t="s">
        <v>802</v>
      </c>
      <c r="D119" s="108"/>
      <c r="E119" s="108"/>
      <c r="F119" s="108"/>
      <c r="G119" s="108"/>
      <c r="H119" s="108"/>
      <c r="I119" s="108">
        <f>J109+J110+J112+J117+J118</f>
        <v>1603.9800000000002</v>
      </c>
      <c r="J119" s="108"/>
      <c r="O119" s="33">
        <f>I119</f>
        <v>1603.9800000000002</v>
      </c>
      <c r="P119">
        <f>K119</f>
        <v>0</v>
      </c>
      <c r="Q119" s="33">
        <f>J109</f>
        <v>31.78</v>
      </c>
      <c r="R119" s="33">
        <f>J109</f>
        <v>31.78</v>
      </c>
      <c r="U119" s="33">
        <f>L109</f>
        <v>919.4</v>
      </c>
      <c r="X119" s="33">
        <f>J111</f>
        <v>6.93</v>
      </c>
      <c r="Z119" s="33">
        <f>L111</f>
        <v>200.48</v>
      </c>
      <c r="AB119" s="33">
        <f>J110</f>
        <v>66.11</v>
      </c>
      <c r="AD119" s="33">
        <f>L110</f>
        <v>0</v>
      </c>
      <c r="AF119" s="33">
        <f>J112</f>
        <v>1432.15</v>
      </c>
      <c r="AN119">
        <f>IF(Source!BI36&lt;=1,J109+J110+J112+J117+J118, 0)</f>
        <v>1603.9800000000002</v>
      </c>
      <c r="AO119">
        <f>IF(Source!BI36&lt;=1,J112, 0)</f>
        <v>1432.15</v>
      </c>
      <c r="AP119">
        <f>IF(Source!BI36&lt;=1,J110, 0)</f>
        <v>66.11</v>
      </c>
      <c r="AQ119">
        <f>IF(Source!BI36&lt;=1,J109, 0)</f>
        <v>31.78</v>
      </c>
      <c r="AX119">
        <f>IF(Source!BI36=2,J109+J110+J112+J117+J118, 0)</f>
        <v>0</v>
      </c>
      <c r="AY119">
        <f>IF(Source!BI36=2,J112, 0)</f>
        <v>0</v>
      </c>
      <c r="AZ119">
        <f>IF(Source!BI36=2,J110, 0)</f>
        <v>0</v>
      </c>
      <c r="BA119">
        <f>IF(Source!BI36=2,J109, 0)</f>
        <v>0</v>
      </c>
    </row>
    <row r="120" spans="1:56" ht="133.5">
      <c r="A120" s="57">
        <v>10</v>
      </c>
      <c r="B120" s="57" t="str">
        <f>Source!F37</f>
        <v>47-01-046-4</v>
      </c>
      <c r="C120" s="57" t="s">
        <v>816</v>
      </c>
      <c r="D120" s="42" t="str">
        <f>Source!H37</f>
        <v>100 м2</v>
      </c>
      <c r="E120" s="38">
        <f>Source!K37</f>
        <v>3.4</v>
      </c>
      <c r="F120" s="38"/>
      <c r="G120" s="38">
        <f>Source!I37</f>
        <v>3.4</v>
      </c>
      <c r="H120" s="35"/>
      <c r="I120" s="43"/>
      <c r="J120" s="35"/>
      <c r="K120" s="43"/>
      <c r="L120" s="35"/>
      <c r="AG120">
        <f>Source!X37</f>
        <v>1492.35</v>
      </c>
      <c r="AH120">
        <f>Source!HK37</f>
        <v>43173.58</v>
      </c>
      <c r="AI120">
        <f>Source!Y37</f>
        <v>1043.19</v>
      </c>
      <c r="AJ120">
        <f>Source!HL37</f>
        <v>30179.59</v>
      </c>
      <c r="AS120">
        <f>IF(Source!BI37&lt;=1,AH120, 0)</f>
        <v>43173.58</v>
      </c>
      <c r="AT120">
        <f>IF(Source!BI37&lt;=1,AJ120, 0)</f>
        <v>30179.59</v>
      </c>
      <c r="BC120">
        <f>IF(Source!BI37=2,AH120, 0)</f>
        <v>0</v>
      </c>
      <c r="BD120">
        <f>IF(Source!BI37=2,AJ120, 0)</f>
        <v>0</v>
      </c>
    </row>
    <row r="122" spans="1:56">
      <c r="C122" s="32" t="str">
        <f>"Объем: "&amp;Source!K37&amp;"=340/"&amp;"100"</f>
        <v>Объем: 3,4=340/100</v>
      </c>
    </row>
    <row r="123" spans="1:56" ht="14.25">
      <c r="A123" s="57"/>
      <c r="B123" s="58">
        <v>1</v>
      </c>
      <c r="C123" s="57" t="s">
        <v>794</v>
      </c>
      <c r="D123" s="42"/>
      <c r="E123" s="38"/>
      <c r="F123" s="38"/>
      <c r="G123" s="38"/>
      <c r="H123" s="35">
        <f>Source!AO37</f>
        <v>308.8</v>
      </c>
      <c r="I123" s="43">
        <f>ROUND(1.15*1.2,7)</f>
        <v>1.38</v>
      </c>
      <c r="J123" s="35">
        <f>ROUND(Source!AF37*Source!I37, 2)</f>
        <v>1448.88</v>
      </c>
      <c r="K123" s="43">
        <f>IF(Source!BA37&lt;&gt; 0, Source!BA37, 1)</f>
        <v>28.93</v>
      </c>
      <c r="L123" s="35">
        <f>Source!HJ37</f>
        <v>41916.1</v>
      </c>
    </row>
    <row r="124" spans="1:56" ht="14.25">
      <c r="A124" s="57"/>
      <c r="B124" s="58">
        <v>4</v>
      </c>
      <c r="C124" s="57" t="s">
        <v>813</v>
      </c>
      <c r="D124" s="42"/>
      <c r="E124" s="38"/>
      <c r="F124" s="38"/>
      <c r="G124" s="38"/>
      <c r="H124" s="35">
        <f>Source!AL37</f>
        <v>1940.55</v>
      </c>
      <c r="I124" s="43"/>
      <c r="J124" s="35">
        <f>ROUND(Source!AC37*Source!I37, 2)</f>
        <v>6597.87</v>
      </c>
      <c r="K124" s="43"/>
      <c r="L124" s="35"/>
    </row>
    <row r="125" spans="1:56" ht="14.25">
      <c r="A125" s="57"/>
      <c r="B125" s="57"/>
      <c r="C125" s="59" t="s">
        <v>795</v>
      </c>
      <c r="D125" s="44" t="s">
        <v>796</v>
      </c>
      <c r="E125" s="45">
        <f>Source!AQ37</f>
        <v>40</v>
      </c>
      <c r="F125" s="45">
        <f>ROUND(1.15*1.2,7)</f>
        <v>1.38</v>
      </c>
      <c r="G125" s="45">
        <f>ROUND(Source!U37, 7)</f>
        <v>187.68</v>
      </c>
      <c r="H125" s="46"/>
      <c r="I125" s="47"/>
      <c r="J125" s="46"/>
      <c r="K125" s="47"/>
      <c r="L125" s="46"/>
    </row>
    <row r="126" spans="1:56" ht="14.25">
      <c r="A126" s="57"/>
      <c r="B126" s="57"/>
      <c r="C126" s="57" t="s">
        <v>797</v>
      </c>
      <c r="D126" s="42"/>
      <c r="E126" s="38"/>
      <c r="F126" s="38"/>
      <c r="G126" s="38"/>
      <c r="H126" s="35">
        <f>H123+H124</f>
        <v>2249.35</v>
      </c>
      <c r="I126" s="43"/>
      <c r="J126" s="35">
        <f>J123+J124</f>
        <v>8046.75</v>
      </c>
      <c r="K126" s="43"/>
      <c r="L126" s="35"/>
    </row>
    <row r="127" spans="1:56" ht="14.25">
      <c r="A127" s="57"/>
      <c r="B127" s="57"/>
      <c r="C127" s="57" t="s">
        <v>798</v>
      </c>
      <c r="D127" s="42"/>
      <c r="E127" s="38"/>
      <c r="F127" s="38"/>
      <c r="G127" s="38"/>
      <c r="H127" s="35"/>
      <c r="I127" s="43"/>
      <c r="J127" s="35">
        <f>SUM(Q120:Q130)+SUM(V120:V130)+SUM(X120:X130)+SUM(Y120:Y130)</f>
        <v>1448.88</v>
      </c>
      <c r="K127" s="43"/>
      <c r="L127" s="35">
        <f>SUM(U120:U130)+SUM(W120:W130)+SUM(Z120:Z130)+SUM(AA120:AA130)</f>
        <v>41916.1</v>
      </c>
    </row>
    <row r="128" spans="1:56" ht="28.5">
      <c r="A128" s="57"/>
      <c r="B128" s="57" t="s">
        <v>78</v>
      </c>
      <c r="C128" s="57" t="s">
        <v>817</v>
      </c>
      <c r="D128" s="42" t="s">
        <v>800</v>
      </c>
      <c r="E128" s="38">
        <f>Source!BZ37</f>
        <v>103</v>
      </c>
      <c r="F128" s="38"/>
      <c r="G128" s="38">
        <f>Source!AT37</f>
        <v>103</v>
      </c>
      <c r="H128" s="35"/>
      <c r="I128" s="43"/>
      <c r="J128" s="35">
        <f>SUM(AG120:AG130)</f>
        <v>1492.35</v>
      </c>
      <c r="K128" s="43"/>
      <c r="L128" s="35">
        <f>SUM(AH120:AH130)</f>
        <v>43173.58</v>
      </c>
    </row>
    <row r="129" spans="1:95" ht="28.5">
      <c r="A129" s="59"/>
      <c r="B129" s="59" t="s">
        <v>79</v>
      </c>
      <c r="C129" s="59" t="s">
        <v>818</v>
      </c>
      <c r="D129" s="44" t="s">
        <v>800</v>
      </c>
      <c r="E129" s="45">
        <f>Source!CA37</f>
        <v>72</v>
      </c>
      <c r="F129" s="45"/>
      <c r="G129" s="45">
        <f>Source!AU37</f>
        <v>72</v>
      </c>
      <c r="H129" s="46"/>
      <c r="I129" s="47"/>
      <c r="J129" s="46">
        <f>SUM(AI120:AI130)</f>
        <v>1043.19</v>
      </c>
      <c r="K129" s="47"/>
      <c r="L129" s="46">
        <f>SUM(AJ120:AJ130)</f>
        <v>30179.59</v>
      </c>
    </row>
    <row r="130" spans="1:95" ht="15">
      <c r="C130" s="108" t="s">
        <v>802</v>
      </c>
      <c r="D130" s="108"/>
      <c r="E130" s="108"/>
      <c r="F130" s="108"/>
      <c r="G130" s="108"/>
      <c r="H130" s="108"/>
      <c r="I130" s="108">
        <f>J123+J124+J128+J129</f>
        <v>10582.29</v>
      </c>
      <c r="J130" s="108"/>
      <c r="O130" s="33">
        <f>I130</f>
        <v>10582.29</v>
      </c>
      <c r="P130">
        <f>K130</f>
        <v>0</v>
      </c>
      <c r="Q130" s="33">
        <f>J123</f>
        <v>1448.88</v>
      </c>
      <c r="R130" s="33">
        <f>J123</f>
        <v>1448.88</v>
      </c>
      <c r="U130" s="33">
        <f>L123</f>
        <v>41916.1</v>
      </c>
      <c r="X130">
        <f>0</f>
        <v>0</v>
      </c>
      <c r="Z130">
        <f>0</f>
        <v>0</v>
      </c>
      <c r="AB130">
        <f>0</f>
        <v>0</v>
      </c>
      <c r="AD130">
        <f>0</f>
        <v>0</v>
      </c>
      <c r="AF130" s="33">
        <f>J124</f>
        <v>6597.87</v>
      </c>
      <c r="AN130">
        <f>IF(Source!BI37&lt;=1,J123+J124+J128+J129, 0)</f>
        <v>10582.29</v>
      </c>
      <c r="AO130">
        <f>IF(Source!BI37&lt;=1,J124, 0)</f>
        <v>6597.87</v>
      </c>
      <c r="AP130">
        <f>IF(Source!BI37&lt;=1,0, 0)</f>
        <v>0</v>
      </c>
      <c r="AQ130">
        <f>IF(Source!BI37&lt;=1,J123, 0)</f>
        <v>1448.88</v>
      </c>
      <c r="AX130">
        <f>IF(Source!BI37=2,J123+J124+J128+J129, 0)</f>
        <v>0</v>
      </c>
      <c r="AY130">
        <f>IF(Source!BI37=2,J124, 0)</f>
        <v>0</v>
      </c>
      <c r="AZ130">
        <f>IF(Source!BI37=2,0, 0)</f>
        <v>0</v>
      </c>
      <c r="BA130">
        <f>IF(Source!BI37=2,J123, 0)</f>
        <v>0</v>
      </c>
    </row>
    <row r="131" spans="1:95" ht="133.5">
      <c r="A131" s="57">
        <v>11</v>
      </c>
      <c r="B131" s="57" t="str">
        <f>Source!F38</f>
        <v>47-01-046-5</v>
      </c>
      <c r="C131" s="57" t="s">
        <v>819</v>
      </c>
      <c r="D131" s="42" t="str">
        <f>Source!H38</f>
        <v>100 м2</v>
      </c>
      <c r="E131" s="38">
        <f>Source!K38</f>
        <v>-3.4</v>
      </c>
      <c r="F131" s="38"/>
      <c r="G131" s="38">
        <f>Source!I38</f>
        <v>-3.4</v>
      </c>
      <c r="H131" s="35"/>
      <c r="I131" s="43"/>
      <c r="J131" s="35"/>
      <c r="K131" s="43"/>
      <c r="L131" s="35"/>
      <c r="AG131">
        <f>Source!X38</f>
        <v>-204.09</v>
      </c>
      <c r="AH131">
        <f>Source!HK38</f>
        <v>-5904.45</v>
      </c>
      <c r="AI131">
        <f>Source!Y38</f>
        <v>-142.66999999999999</v>
      </c>
      <c r="AJ131">
        <f>Source!HL38</f>
        <v>-4127.3900000000003</v>
      </c>
      <c r="AS131">
        <f>IF(Source!BI38&lt;=1,AH131, 0)</f>
        <v>-5904.45</v>
      </c>
      <c r="AT131">
        <f>IF(Source!BI38&lt;=1,AJ131, 0)</f>
        <v>-4127.3900000000003</v>
      </c>
      <c r="BC131">
        <f>IF(Source!BI38=2,AH131, 0)</f>
        <v>0</v>
      </c>
      <c r="BD131">
        <f>IF(Source!BI38=2,AJ131, 0)</f>
        <v>0</v>
      </c>
    </row>
    <row r="133" spans="1:95">
      <c r="C133" s="32" t="str">
        <f>"Объем: "&amp;Source!K38&amp;"=-"&amp;"340/"&amp;"100"</f>
        <v>Объем: -3,4=-340/100</v>
      </c>
    </row>
    <row r="134" spans="1:95" ht="14.25">
      <c r="A134" s="57"/>
      <c r="B134" s="58">
        <v>1</v>
      </c>
      <c r="C134" s="57" t="s">
        <v>794</v>
      </c>
      <c r="D134" s="42"/>
      <c r="E134" s="38"/>
      <c r="F134" s="38"/>
      <c r="G134" s="38"/>
      <c r="H134" s="35">
        <f>Source!AO38</f>
        <v>42.23</v>
      </c>
      <c r="I134" s="43">
        <f>ROUND(1.2*1.15,7)</f>
        <v>1.38</v>
      </c>
      <c r="J134" s="35">
        <f>ROUND(Source!AF38*Source!I38, 2)</f>
        <v>-198.15</v>
      </c>
      <c r="K134" s="43">
        <f>IF(Source!BA38&lt;&gt; 0, Source!BA38, 1)</f>
        <v>28.93</v>
      </c>
      <c r="L134" s="35">
        <f>Source!HJ38</f>
        <v>-5732.48</v>
      </c>
    </row>
    <row r="135" spans="1:95" ht="14.25">
      <c r="A135" s="57"/>
      <c r="B135" s="58">
        <v>4</v>
      </c>
      <c r="C135" s="57" t="s">
        <v>813</v>
      </c>
      <c r="D135" s="42"/>
      <c r="E135" s="38"/>
      <c r="F135" s="38"/>
      <c r="G135" s="38"/>
      <c r="H135" s="35">
        <f>Source!AL38</f>
        <v>646.85</v>
      </c>
      <c r="I135" s="43"/>
      <c r="J135" s="35">
        <f>ROUND(Source!AC38*Source!I38, 2)</f>
        <v>-2199.29</v>
      </c>
      <c r="K135" s="43"/>
      <c r="L135" s="35"/>
    </row>
    <row r="136" spans="1:95" ht="14.25">
      <c r="A136" s="57"/>
      <c r="B136" s="57"/>
      <c r="C136" s="59" t="s">
        <v>795</v>
      </c>
      <c r="D136" s="44" t="s">
        <v>796</v>
      </c>
      <c r="E136" s="45">
        <f>Source!AQ38</f>
        <v>5.47</v>
      </c>
      <c r="F136" s="45">
        <f>ROUND(1.2*1.15,7)</f>
        <v>1.38</v>
      </c>
      <c r="G136" s="45">
        <f>ROUND(Source!U38, 7)</f>
        <v>-25.665240000000001</v>
      </c>
      <c r="H136" s="46"/>
      <c r="I136" s="47"/>
      <c r="J136" s="46"/>
      <c r="K136" s="47"/>
      <c r="L136" s="46"/>
    </row>
    <row r="137" spans="1:95" ht="14.25">
      <c r="A137" s="57"/>
      <c r="B137" s="57"/>
      <c r="C137" s="57" t="s">
        <v>797</v>
      </c>
      <c r="D137" s="42"/>
      <c r="E137" s="38"/>
      <c r="F137" s="38"/>
      <c r="G137" s="38"/>
      <c r="H137" s="35">
        <f>H134+H135</f>
        <v>689.08</v>
      </c>
      <c r="I137" s="43"/>
      <c r="J137" s="35">
        <f>J134+J135</f>
        <v>-2397.44</v>
      </c>
      <c r="K137" s="43"/>
      <c r="L137" s="35"/>
    </row>
    <row r="138" spans="1:95" ht="14.25">
      <c r="A138" s="57"/>
      <c r="B138" s="57"/>
      <c r="C138" s="57" t="s">
        <v>798</v>
      </c>
      <c r="D138" s="42"/>
      <c r="E138" s="38"/>
      <c r="F138" s="38"/>
      <c r="G138" s="38"/>
      <c r="H138" s="35"/>
      <c r="I138" s="43"/>
      <c r="J138" s="35">
        <f>SUM(Q131:Q141)+SUM(V131:V141)+SUM(X131:X141)+SUM(Y131:Y141)</f>
        <v>-198.15</v>
      </c>
      <c r="K138" s="43"/>
      <c r="L138" s="35">
        <f>SUM(U131:U141)+SUM(W131:W141)+SUM(Z131:Z141)+SUM(AA131:AA141)</f>
        <v>-5732.48</v>
      </c>
    </row>
    <row r="139" spans="1:95" ht="28.5">
      <c r="A139" s="57"/>
      <c r="B139" s="57" t="s">
        <v>78</v>
      </c>
      <c r="C139" s="57" t="s">
        <v>817</v>
      </c>
      <c r="D139" s="42" t="s">
        <v>800</v>
      </c>
      <c r="E139" s="38">
        <f>Source!BZ38</f>
        <v>103</v>
      </c>
      <c r="F139" s="38"/>
      <c r="G139" s="38">
        <f>Source!AT38</f>
        <v>103</v>
      </c>
      <c r="H139" s="35"/>
      <c r="I139" s="43"/>
      <c r="J139" s="35">
        <f>SUM(AG131:AG141)</f>
        <v>-204.09</v>
      </c>
      <c r="K139" s="43"/>
      <c r="L139" s="35">
        <f>SUM(AH131:AH141)</f>
        <v>-5904.45</v>
      </c>
    </row>
    <row r="140" spans="1:95" ht="28.5">
      <c r="A140" s="59"/>
      <c r="B140" s="59" t="s">
        <v>79</v>
      </c>
      <c r="C140" s="59" t="s">
        <v>818</v>
      </c>
      <c r="D140" s="44" t="s">
        <v>800</v>
      </c>
      <c r="E140" s="45">
        <f>Source!CA38</f>
        <v>72</v>
      </c>
      <c r="F140" s="45"/>
      <c r="G140" s="45">
        <f>Source!AU38</f>
        <v>72</v>
      </c>
      <c r="H140" s="46"/>
      <c r="I140" s="47"/>
      <c r="J140" s="46">
        <f>SUM(AI131:AI141)</f>
        <v>-142.66999999999999</v>
      </c>
      <c r="K140" s="47"/>
      <c r="L140" s="46">
        <f>SUM(AJ131:AJ141)</f>
        <v>-4127.3900000000003</v>
      </c>
    </row>
    <row r="141" spans="1:95" ht="15">
      <c r="C141" s="108" t="s">
        <v>802</v>
      </c>
      <c r="D141" s="108"/>
      <c r="E141" s="108"/>
      <c r="F141" s="108"/>
      <c r="G141" s="108"/>
      <c r="H141" s="108"/>
      <c r="I141" s="108">
        <f>J134+J135+J139+J140</f>
        <v>-2744.2000000000003</v>
      </c>
      <c r="J141" s="108"/>
      <c r="O141" s="33">
        <f>I141</f>
        <v>-2744.2000000000003</v>
      </c>
      <c r="P141">
        <f>K141</f>
        <v>0</v>
      </c>
      <c r="Q141" s="33">
        <f>J134</f>
        <v>-198.15</v>
      </c>
      <c r="R141" s="33">
        <f>J134</f>
        <v>-198.15</v>
      </c>
      <c r="U141" s="33">
        <f>L134</f>
        <v>-5732.48</v>
      </c>
      <c r="X141">
        <f>0</f>
        <v>0</v>
      </c>
      <c r="Z141">
        <f>0</f>
        <v>0</v>
      </c>
      <c r="AB141">
        <f>0</f>
        <v>0</v>
      </c>
      <c r="AD141">
        <f>0</f>
        <v>0</v>
      </c>
      <c r="AF141" s="33">
        <f>J135</f>
        <v>-2199.29</v>
      </c>
      <c r="AN141">
        <f>IF(Source!BI38&lt;=1,J134+J135+J139+J140, 0)</f>
        <v>-2744.2000000000003</v>
      </c>
      <c r="AO141">
        <f>IF(Source!BI38&lt;=1,J135, 0)</f>
        <v>-2199.29</v>
      </c>
      <c r="AP141">
        <f>IF(Source!BI38&lt;=1,0, 0)</f>
        <v>0</v>
      </c>
      <c r="AQ141">
        <f>IF(Source!BI38&lt;=1,J134, 0)</f>
        <v>-198.15</v>
      </c>
      <c r="AX141">
        <f>IF(Source!BI38=2,J134+J135+J139+J140, 0)</f>
        <v>0</v>
      </c>
      <c r="AY141">
        <f>IF(Source!BI38=2,J135, 0)</f>
        <v>0</v>
      </c>
      <c r="AZ141">
        <f>IF(Source!BI38=2,0, 0)</f>
        <v>0</v>
      </c>
      <c r="BA141">
        <f>IF(Source!BI38=2,J134, 0)</f>
        <v>0</v>
      </c>
    </row>
    <row r="143" spans="1:95" ht="15">
      <c r="A143" s="49"/>
      <c r="B143" s="50"/>
      <c r="C143" s="107" t="s">
        <v>820</v>
      </c>
      <c r="D143" s="107"/>
      <c r="E143" s="107"/>
      <c r="F143" s="107"/>
      <c r="G143" s="107"/>
      <c r="H143" s="107"/>
      <c r="I143" s="51"/>
      <c r="J143" s="52">
        <f>J145+J146+J147+J148</f>
        <v>9326.619999999999</v>
      </c>
      <c r="K143" s="52"/>
      <c r="L143" s="52"/>
      <c r="CQ143" s="61" t="s">
        <v>820</v>
      </c>
    </row>
    <row r="144" spans="1:95" ht="14.25">
      <c r="A144" s="53"/>
      <c r="B144" s="54"/>
      <c r="C144" s="105" t="s">
        <v>821</v>
      </c>
      <c r="D144" s="106"/>
      <c r="E144" s="106"/>
      <c r="F144" s="106"/>
      <c r="G144" s="106"/>
      <c r="H144" s="106"/>
      <c r="I144" s="55"/>
      <c r="J144" s="56"/>
      <c r="K144" s="56"/>
      <c r="L144" s="56"/>
    </row>
    <row r="145" spans="1:12" ht="14.25">
      <c r="A145" s="53"/>
      <c r="B145" s="54"/>
      <c r="C145" s="106" t="s">
        <v>822</v>
      </c>
      <c r="D145" s="106"/>
      <c r="E145" s="106"/>
      <c r="F145" s="106"/>
      <c r="G145" s="106"/>
      <c r="H145" s="106"/>
      <c r="I145" s="55"/>
      <c r="J145" s="56">
        <f>SUM(Q31:Q141)</f>
        <v>1883.2599999999998</v>
      </c>
      <c r="K145" s="56"/>
      <c r="L145" s="56"/>
    </row>
    <row r="146" spans="1:12" ht="14.25">
      <c r="A146" s="53"/>
      <c r="B146" s="54"/>
      <c r="C146" s="106" t="s">
        <v>823</v>
      </c>
      <c r="D146" s="106"/>
      <c r="E146" s="106"/>
      <c r="F146" s="106"/>
      <c r="G146" s="106"/>
      <c r="H146" s="106"/>
      <c r="I146" s="55"/>
      <c r="J146" s="56">
        <f>SUM(AB31:AB141)</f>
        <v>580.59</v>
      </c>
      <c r="K146" s="56"/>
      <c r="L146" s="56"/>
    </row>
    <row r="147" spans="1:12" ht="14.25">
      <c r="A147" s="53"/>
      <c r="B147" s="54"/>
      <c r="C147" s="106" t="s">
        <v>824</v>
      </c>
      <c r="D147" s="106"/>
      <c r="E147" s="106"/>
      <c r="F147" s="106"/>
      <c r="G147" s="106"/>
      <c r="H147" s="106"/>
      <c r="I147" s="55"/>
      <c r="J147" s="56">
        <f>Source!F43-J152</f>
        <v>5830.73</v>
      </c>
      <c r="K147" s="56"/>
      <c r="L147" s="56"/>
    </row>
    <row r="148" spans="1:12" ht="14.25">
      <c r="A148" s="53"/>
      <c r="B148" s="54"/>
      <c r="C148" s="106" t="s">
        <v>825</v>
      </c>
      <c r="D148" s="106"/>
      <c r="E148" s="106"/>
      <c r="F148" s="106"/>
      <c r="G148" s="106"/>
      <c r="H148" s="106"/>
      <c r="I148" s="55"/>
      <c r="J148" s="56">
        <f>Source!F65</f>
        <v>1032.04</v>
      </c>
      <c r="K148" s="56"/>
      <c r="L148" s="56"/>
    </row>
    <row r="149" spans="1:12" ht="14.25">
      <c r="A149" s="53"/>
      <c r="B149" s="54"/>
      <c r="C149" s="106" t="s">
        <v>826</v>
      </c>
      <c r="D149" s="106"/>
      <c r="E149" s="106"/>
      <c r="F149" s="106"/>
      <c r="G149" s="106"/>
      <c r="H149" s="106"/>
      <c r="I149" s="55"/>
      <c r="J149" s="56">
        <f>SUM(Q31:Q141)+SUM(X31:X141)</f>
        <v>1964.4699999999998</v>
      </c>
      <c r="K149" s="56"/>
      <c r="L149" s="56"/>
    </row>
    <row r="150" spans="1:12" ht="14.25">
      <c r="A150" s="53"/>
      <c r="B150" s="54"/>
      <c r="C150" s="106" t="s">
        <v>827</v>
      </c>
      <c r="D150" s="106"/>
      <c r="E150" s="106"/>
      <c r="F150" s="106"/>
      <c r="G150" s="106"/>
      <c r="H150" s="106"/>
      <c r="I150" s="55"/>
      <c r="J150" s="56">
        <f>Source!F66</f>
        <v>1936.86</v>
      </c>
      <c r="K150" s="56"/>
      <c r="L150" s="56"/>
    </row>
    <row r="151" spans="1:12" ht="14.25">
      <c r="A151" s="53"/>
      <c r="B151" s="54"/>
      <c r="C151" s="106" t="s">
        <v>828</v>
      </c>
      <c r="D151" s="106"/>
      <c r="E151" s="106"/>
      <c r="F151" s="106"/>
      <c r="G151" s="106"/>
      <c r="H151" s="106"/>
      <c r="I151" s="55"/>
      <c r="J151" s="56">
        <f>Source!F67</f>
        <v>1204.22</v>
      </c>
      <c r="K151" s="56"/>
      <c r="L151" s="56"/>
    </row>
    <row r="152" spans="1:12" ht="14.25" hidden="1" customHeight="1">
      <c r="A152" s="53"/>
      <c r="B152" s="54"/>
      <c r="C152" s="106" t="s">
        <v>829</v>
      </c>
      <c r="D152" s="106"/>
      <c r="E152" s="106"/>
      <c r="F152" s="106"/>
      <c r="G152" s="106"/>
      <c r="H152" s="106"/>
      <c r="I152" s="55"/>
      <c r="J152" s="56">
        <f>Source!F49</f>
        <v>0</v>
      </c>
      <c r="K152" s="56"/>
      <c r="L152" s="56"/>
    </row>
    <row r="153" spans="1:12" ht="14.25" hidden="1" customHeight="1">
      <c r="A153" s="53"/>
      <c r="B153" s="54"/>
      <c r="C153" s="106" t="s">
        <v>830</v>
      </c>
      <c r="D153" s="106"/>
      <c r="E153" s="106"/>
      <c r="F153" s="106"/>
      <c r="G153" s="106"/>
      <c r="H153" s="106"/>
      <c r="I153" s="55"/>
      <c r="J153" s="56">
        <f>Source!F59</f>
        <v>0</v>
      </c>
      <c r="K153" s="56"/>
      <c r="L153" s="56"/>
    </row>
    <row r="154" spans="1:12" ht="15">
      <c r="A154" s="49"/>
      <c r="B154" s="50"/>
      <c r="C154" s="107" t="s">
        <v>831</v>
      </c>
      <c r="D154" s="107"/>
      <c r="E154" s="107"/>
      <c r="F154" s="107"/>
      <c r="G154" s="107"/>
      <c r="H154" s="107"/>
      <c r="I154" s="51"/>
      <c r="J154" s="52">
        <f>Source!F68</f>
        <v>12467.7</v>
      </c>
      <c r="K154" s="52"/>
      <c r="L154" s="52"/>
    </row>
    <row r="155" spans="1:12" ht="14.25" hidden="1" customHeight="1">
      <c r="A155" s="53"/>
      <c r="B155" s="54"/>
      <c r="C155" s="105" t="s">
        <v>821</v>
      </c>
      <c r="D155" s="106"/>
      <c r="E155" s="106"/>
      <c r="F155" s="106"/>
      <c r="G155" s="106"/>
      <c r="H155" s="106"/>
      <c r="I155" s="55"/>
      <c r="J155" s="56"/>
      <c r="K155" s="56"/>
      <c r="L155" s="56"/>
    </row>
    <row r="156" spans="1:12" ht="14.25" hidden="1" customHeight="1">
      <c r="A156" s="53"/>
      <c r="B156" s="54"/>
      <c r="C156" s="106" t="s">
        <v>832</v>
      </c>
      <c r="D156" s="106"/>
      <c r="E156" s="106"/>
      <c r="F156" s="106"/>
      <c r="G156" s="106"/>
      <c r="H156" s="106"/>
      <c r="I156" s="55"/>
      <c r="J156" s="56"/>
      <c r="K156" s="56"/>
      <c r="L156" s="56">
        <f>SUM(BS31:BS141)</f>
        <v>0</v>
      </c>
    </row>
    <row r="157" spans="1:12" ht="14.25" hidden="1" customHeight="1">
      <c r="A157" s="53"/>
      <c r="B157" s="54"/>
      <c r="C157" s="106" t="s">
        <v>833</v>
      </c>
      <c r="D157" s="106"/>
      <c r="E157" s="106"/>
      <c r="F157" s="106"/>
      <c r="G157" s="106"/>
      <c r="H157" s="106"/>
      <c r="I157" s="55"/>
      <c r="J157" s="56"/>
      <c r="K157" s="56"/>
      <c r="L157" s="56">
        <f>SUM(BT31:BT141)</f>
        <v>0</v>
      </c>
    </row>
    <row r="158" spans="1:12" ht="14.25">
      <c r="C158" s="104" t="str">
        <f>Source!H69</f>
        <v>Итого прямые затраты</v>
      </c>
      <c r="D158" s="104"/>
      <c r="E158" s="104"/>
      <c r="F158" s="104"/>
      <c r="G158" s="104"/>
      <c r="H158" s="104"/>
      <c r="I158" s="104"/>
      <c r="J158" s="34">
        <f>IF(Source!W69=0, "", Source!W69)</f>
        <v>9327</v>
      </c>
    </row>
    <row r="159" spans="1:12" ht="14.25">
      <c r="C159" s="104" t="str">
        <f>Source!H70</f>
        <v>Накладные расходы</v>
      </c>
      <c r="D159" s="104"/>
      <c r="E159" s="104"/>
      <c r="F159" s="104"/>
      <c r="G159" s="104"/>
      <c r="H159" s="104"/>
      <c r="I159" s="104"/>
      <c r="J159" s="34">
        <f>IF(Source!W70=0, "", Source!W70)</f>
        <v>1937</v>
      </c>
    </row>
    <row r="160" spans="1:12" ht="14.25">
      <c r="C160" s="104" t="str">
        <f>Source!H71</f>
        <v>Сметная прибыль</v>
      </c>
      <c r="D160" s="104"/>
      <c r="E160" s="104"/>
      <c r="F160" s="104"/>
      <c r="G160" s="104"/>
      <c r="H160" s="104"/>
      <c r="I160" s="104"/>
      <c r="J160" s="34">
        <f>IF(Source!W71=0, "", Source!W71)</f>
        <v>1204</v>
      </c>
    </row>
    <row r="161" spans="1:56" ht="14.25">
      <c r="C161" s="104" t="str">
        <f>Source!H72</f>
        <v>Итого</v>
      </c>
      <c r="D161" s="104"/>
      <c r="E161" s="104"/>
      <c r="F161" s="104"/>
      <c r="G161" s="104"/>
      <c r="H161" s="104"/>
      <c r="I161" s="104"/>
      <c r="J161" s="35">
        <f>IF(Source!W72=0, "", Source!W72)</f>
        <v>12468</v>
      </c>
    </row>
    <row r="162" spans="1:56" ht="14.25">
      <c r="C162" s="104" t="str">
        <f>Source!H73</f>
        <v>В том числе общестроительные работы</v>
      </c>
      <c r="D162" s="104"/>
      <c r="E162" s="104"/>
      <c r="F162" s="104"/>
      <c r="G162" s="104"/>
      <c r="H162" s="104"/>
      <c r="I162" s="104"/>
      <c r="J162" s="35">
        <f>IF(Source!W73=0, "", Source!W73)</f>
        <v>12467.7</v>
      </c>
    </row>
    <row r="164" spans="1:56" ht="16.5">
      <c r="A164" s="109" t="s">
        <v>834</v>
      </c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</row>
    <row r="165" spans="1:56" ht="105">
      <c r="A165" s="57">
        <v>12</v>
      </c>
      <c r="B165" s="57" t="str">
        <f>Source!F83</f>
        <v>м08-02-142-1</v>
      </c>
      <c r="C165" s="57" t="s">
        <v>835</v>
      </c>
      <c r="D165" s="42" t="str">
        <f>Source!H83</f>
        <v>100 м кабеля</v>
      </c>
      <c r="E165" s="38">
        <f>Source!K83</f>
        <v>3.79</v>
      </c>
      <c r="F165" s="38"/>
      <c r="G165" s="38">
        <f>Source!I83</f>
        <v>3.79</v>
      </c>
      <c r="H165" s="35"/>
      <c r="I165" s="43"/>
      <c r="J165" s="35"/>
      <c r="K165" s="43"/>
      <c r="L165" s="35"/>
      <c r="AG165">
        <f>Source!X83</f>
        <v>251.42</v>
      </c>
      <c r="AH165">
        <f>Source!HK83</f>
        <v>7273.7</v>
      </c>
      <c r="AI165">
        <f>Source!Y83</f>
        <v>132.19</v>
      </c>
      <c r="AJ165">
        <f>Source!HL83</f>
        <v>3824.32</v>
      </c>
      <c r="AS165">
        <f>IF(Source!BI83&lt;=1,AH165, 0)</f>
        <v>0</v>
      </c>
      <c r="AT165">
        <f>IF(Source!BI83&lt;=1,AJ165, 0)</f>
        <v>0</v>
      </c>
      <c r="BC165">
        <f>IF(Source!BI83=2,AH165, 0)</f>
        <v>7273.7</v>
      </c>
      <c r="BD165">
        <f>IF(Source!BI83=2,AJ165, 0)</f>
        <v>3824.32</v>
      </c>
    </row>
    <row r="167" spans="1:56">
      <c r="C167" s="32" t="str">
        <f>"Объем: "&amp;Source!K83&amp;"=379/"&amp;"100"</f>
        <v>Объем: 3,79=379/100</v>
      </c>
    </row>
    <row r="168" spans="1:56" ht="14.25">
      <c r="A168" s="57"/>
      <c r="B168" s="58">
        <v>1</v>
      </c>
      <c r="C168" s="57" t="s">
        <v>794</v>
      </c>
      <c r="D168" s="42"/>
      <c r="E168" s="38"/>
      <c r="F168" s="38"/>
      <c r="G168" s="38"/>
      <c r="H168" s="35">
        <f>Source!AO83</f>
        <v>49.56</v>
      </c>
      <c r="I168" s="43">
        <f>ROUND(1.2*1.15,7)</f>
        <v>1.38</v>
      </c>
      <c r="J168" s="35">
        <f>ROUND(Source!AF83*Source!I83, 2)</f>
        <v>259.2</v>
      </c>
      <c r="K168" s="43">
        <f>IF(Source!BA83&lt;&gt; 0, Source!BA83, 1)</f>
        <v>28.93</v>
      </c>
      <c r="L168" s="35">
        <f>Source!HJ83</f>
        <v>7498.66</v>
      </c>
    </row>
    <row r="169" spans="1:56" ht="14.25">
      <c r="A169" s="57"/>
      <c r="B169" s="58">
        <v>3</v>
      </c>
      <c r="C169" s="57" t="s">
        <v>805</v>
      </c>
      <c r="D169" s="42"/>
      <c r="E169" s="38"/>
      <c r="F169" s="38"/>
      <c r="G169" s="38"/>
      <c r="H169" s="35">
        <f>Source!AM83</f>
        <v>314.93</v>
      </c>
      <c r="I169" s="43">
        <f>ROUND(1.2*1.15,7)</f>
        <v>1.38</v>
      </c>
      <c r="J169" s="35">
        <f>ROUND(Source!AD83*Source!I83, 2)</f>
        <v>1647.13</v>
      </c>
      <c r="K169" s="43"/>
      <c r="L169" s="35"/>
    </row>
    <row r="170" spans="1:56" ht="14.25">
      <c r="A170" s="57"/>
      <c r="B170" s="58">
        <v>4</v>
      </c>
      <c r="C170" s="57" t="s">
        <v>813</v>
      </c>
      <c r="D170" s="42"/>
      <c r="E170" s="38"/>
      <c r="F170" s="38"/>
      <c r="G170" s="38"/>
      <c r="H170" s="35">
        <f>Source!AL83</f>
        <v>0.99</v>
      </c>
      <c r="I170" s="43"/>
      <c r="J170" s="35">
        <f>ROUND(Source!AC83*Source!I83, 2)</f>
        <v>3.75</v>
      </c>
      <c r="K170" s="43"/>
      <c r="L170" s="35"/>
    </row>
    <row r="171" spans="1:56" ht="14.25">
      <c r="A171" s="57"/>
      <c r="B171" s="57"/>
      <c r="C171" s="59" t="s">
        <v>795</v>
      </c>
      <c r="D171" s="44" t="s">
        <v>796</v>
      </c>
      <c r="E171" s="45">
        <f>Source!AQ83</f>
        <v>5.3</v>
      </c>
      <c r="F171" s="45">
        <f>ROUND(1.2*1.15,7)</f>
        <v>1.38</v>
      </c>
      <c r="G171" s="45">
        <f>ROUND(Source!U83, 7)</f>
        <v>27.72006</v>
      </c>
      <c r="H171" s="46"/>
      <c r="I171" s="47"/>
      <c r="J171" s="46"/>
      <c r="K171" s="47"/>
      <c r="L171" s="46"/>
    </row>
    <row r="172" spans="1:56" ht="14.25">
      <c r="A172" s="57"/>
      <c r="B172" s="57"/>
      <c r="C172" s="57" t="s">
        <v>797</v>
      </c>
      <c r="D172" s="42"/>
      <c r="E172" s="38"/>
      <c r="F172" s="38"/>
      <c r="G172" s="38"/>
      <c r="H172" s="35">
        <f>H168+H169+H170</f>
        <v>365.48</v>
      </c>
      <c r="I172" s="43"/>
      <c r="J172" s="35">
        <f>J168+J169+J170</f>
        <v>1910.0800000000002</v>
      </c>
      <c r="K172" s="43"/>
      <c r="L172" s="35"/>
    </row>
    <row r="173" spans="1:56" ht="14.25">
      <c r="A173" s="57"/>
      <c r="B173" s="57"/>
      <c r="C173" s="57" t="s">
        <v>798</v>
      </c>
      <c r="D173" s="42"/>
      <c r="E173" s="38"/>
      <c r="F173" s="38"/>
      <c r="G173" s="38"/>
      <c r="H173" s="35"/>
      <c r="I173" s="43"/>
      <c r="J173" s="35">
        <f>SUM(Q165:Q176)+SUM(V165:V176)+SUM(X165:X176)+SUM(Y165:Y176)</f>
        <v>259.2</v>
      </c>
      <c r="K173" s="43"/>
      <c r="L173" s="35">
        <f>SUM(U165:U176)+SUM(W165:W176)+SUM(Z165:Z176)+SUM(AA165:AA176)</f>
        <v>7498.66</v>
      </c>
    </row>
    <row r="174" spans="1:56" ht="28.5">
      <c r="A174" s="57"/>
      <c r="B174" s="57" t="s">
        <v>162</v>
      </c>
      <c r="C174" s="57" t="s">
        <v>836</v>
      </c>
      <c r="D174" s="42" t="s">
        <v>800</v>
      </c>
      <c r="E174" s="38">
        <f>Source!BZ83</f>
        <v>97</v>
      </c>
      <c r="F174" s="38"/>
      <c r="G174" s="38">
        <f>Source!AT83</f>
        <v>97</v>
      </c>
      <c r="H174" s="35"/>
      <c r="I174" s="43"/>
      <c r="J174" s="35">
        <f>SUM(AG165:AG176)</f>
        <v>251.42</v>
      </c>
      <c r="K174" s="43"/>
      <c r="L174" s="35">
        <f>SUM(AH165:AH176)</f>
        <v>7273.7</v>
      </c>
    </row>
    <row r="175" spans="1:56" ht="28.5">
      <c r="A175" s="59"/>
      <c r="B175" s="59" t="s">
        <v>163</v>
      </c>
      <c r="C175" s="59" t="s">
        <v>837</v>
      </c>
      <c r="D175" s="44" t="s">
        <v>800</v>
      </c>
      <c r="E175" s="45">
        <f>Source!CA83</f>
        <v>51</v>
      </c>
      <c r="F175" s="45"/>
      <c r="G175" s="45">
        <f>Source!AU83</f>
        <v>51</v>
      </c>
      <c r="H175" s="46"/>
      <c r="I175" s="47"/>
      <c r="J175" s="46">
        <f>SUM(AI165:AI176)</f>
        <v>132.19</v>
      </c>
      <c r="K175" s="47"/>
      <c r="L175" s="46">
        <f>SUM(AJ165:AJ176)</f>
        <v>3824.32</v>
      </c>
    </row>
    <row r="176" spans="1:56" ht="15">
      <c r="C176" s="108" t="s">
        <v>802</v>
      </c>
      <c r="D176" s="108"/>
      <c r="E176" s="108"/>
      <c r="F176" s="108"/>
      <c r="G176" s="108"/>
      <c r="H176" s="108"/>
      <c r="I176" s="108">
        <f>J168+J169+J170+J174+J175</f>
        <v>2293.69</v>
      </c>
      <c r="J176" s="108"/>
      <c r="O176" s="33">
        <f>I176</f>
        <v>2293.69</v>
      </c>
      <c r="P176">
        <f>K176</f>
        <v>0</v>
      </c>
      <c r="Q176" s="33">
        <f>J168</f>
        <v>259.2</v>
      </c>
      <c r="R176" s="33">
        <f>J168</f>
        <v>259.2</v>
      </c>
      <c r="U176" s="33">
        <f>L168</f>
        <v>7498.66</v>
      </c>
      <c r="X176">
        <f>0</f>
        <v>0</v>
      </c>
      <c r="Z176">
        <f>0</f>
        <v>0</v>
      </c>
      <c r="AB176" s="33">
        <f>J169</f>
        <v>1647.13</v>
      </c>
      <c r="AD176" s="33">
        <f>L169</f>
        <v>0</v>
      </c>
      <c r="AF176" s="33">
        <f>J170</f>
        <v>3.75</v>
      </c>
      <c r="AN176">
        <f>IF(Source!BI83&lt;=1,J168+J169+J170+J174+J175, 0)</f>
        <v>0</v>
      </c>
      <c r="AO176">
        <f>IF(Source!BI83&lt;=1,J170, 0)</f>
        <v>0</v>
      </c>
      <c r="AP176">
        <f>IF(Source!BI83&lt;=1,J169, 0)</f>
        <v>0</v>
      </c>
      <c r="AQ176">
        <f>IF(Source!BI83&lt;=1,J168, 0)</f>
        <v>0</v>
      </c>
      <c r="AX176">
        <f>IF(Source!BI83=2,J168+J169+J170+J174+J175, 0)</f>
        <v>2293.69</v>
      </c>
      <c r="AY176">
        <f>IF(Source!BI83=2,J170, 0)</f>
        <v>3.75</v>
      </c>
      <c r="AZ176">
        <f>IF(Source!BI83=2,J169, 0)</f>
        <v>1647.13</v>
      </c>
      <c r="BA176">
        <f>IF(Source!BI83=2,J168, 0)</f>
        <v>259.2</v>
      </c>
    </row>
    <row r="177" spans="1:56" ht="105">
      <c r="A177" s="57">
        <v>13</v>
      </c>
      <c r="B177" s="57" t="str">
        <f>Source!F84</f>
        <v>м08-02-142-2</v>
      </c>
      <c r="C177" s="57" t="s">
        <v>838</v>
      </c>
      <c r="D177" s="42" t="str">
        <f>Source!H84</f>
        <v>100 м кабеля</v>
      </c>
      <c r="E177" s="38">
        <f>Source!K84</f>
        <v>3.79</v>
      </c>
      <c r="F177" s="38"/>
      <c r="G177" s="38">
        <f>Source!I84</f>
        <v>3.79</v>
      </c>
      <c r="H177" s="35"/>
      <c r="I177" s="43"/>
      <c r="J177" s="35"/>
      <c r="K177" s="43"/>
      <c r="L177" s="35"/>
      <c r="AG177">
        <f>Source!X84</f>
        <v>94.41</v>
      </c>
      <c r="AH177">
        <f>Source!HK84</f>
        <v>2731.29</v>
      </c>
      <c r="AI177">
        <f>Source!Y84</f>
        <v>49.64</v>
      </c>
      <c r="AJ177">
        <f>Source!HL84</f>
        <v>1436.04</v>
      </c>
      <c r="AS177">
        <f>IF(Source!BI84&lt;=1,AH177, 0)</f>
        <v>0</v>
      </c>
      <c r="AT177">
        <f>IF(Source!BI84&lt;=1,AJ177, 0)</f>
        <v>0</v>
      </c>
      <c r="BC177">
        <f>IF(Source!BI84=2,AH177, 0)</f>
        <v>2731.29</v>
      </c>
      <c r="BD177">
        <f>IF(Source!BI84=2,AJ177, 0)</f>
        <v>1436.04</v>
      </c>
    </row>
    <row r="179" spans="1:56">
      <c r="C179" s="32" t="str">
        <f>"Объем: "&amp;Source!K84&amp;"=379/"&amp;"100"</f>
        <v>Объем: 3,79=379/100</v>
      </c>
    </row>
    <row r="180" spans="1:56" ht="14.25">
      <c r="A180" s="57"/>
      <c r="B180" s="58">
        <v>1</v>
      </c>
      <c r="C180" s="57" t="s">
        <v>794</v>
      </c>
      <c r="D180" s="42"/>
      <c r="E180" s="38"/>
      <c r="F180" s="38"/>
      <c r="G180" s="38"/>
      <c r="H180" s="35">
        <f>Source!AO84</f>
        <v>18.61</v>
      </c>
      <c r="I180" s="43">
        <f>ROUND(1.2*1.15,7)</f>
        <v>1.38</v>
      </c>
      <c r="J180" s="35">
        <f>ROUND(Source!AF84*Source!I84, 2)</f>
        <v>97.33</v>
      </c>
      <c r="K180" s="43">
        <f>IF(Source!BA84&lt;&gt; 0, Source!BA84, 1)</f>
        <v>28.93</v>
      </c>
      <c r="L180" s="35">
        <f>Source!HJ84</f>
        <v>2815.76</v>
      </c>
    </row>
    <row r="181" spans="1:56" ht="14.25">
      <c r="A181" s="57"/>
      <c r="B181" s="58">
        <v>3</v>
      </c>
      <c r="C181" s="57" t="s">
        <v>805</v>
      </c>
      <c r="D181" s="42"/>
      <c r="E181" s="38"/>
      <c r="F181" s="38"/>
      <c r="G181" s="38"/>
      <c r="H181" s="35">
        <f>Source!AM84</f>
        <v>6.46</v>
      </c>
      <c r="I181" s="43">
        <f>ROUND(1.2*1.15,7)</f>
        <v>1.38</v>
      </c>
      <c r="J181" s="35">
        <f>ROUND(Source!AD84*Source!I84, 2)</f>
        <v>33.770000000000003</v>
      </c>
      <c r="K181" s="43"/>
      <c r="L181" s="35"/>
    </row>
    <row r="182" spans="1:56" ht="14.25">
      <c r="A182" s="57"/>
      <c r="B182" s="58">
        <v>4</v>
      </c>
      <c r="C182" s="57" t="s">
        <v>813</v>
      </c>
      <c r="D182" s="42"/>
      <c r="E182" s="38"/>
      <c r="F182" s="38"/>
      <c r="G182" s="38"/>
      <c r="H182" s="35">
        <f>Source!AL84</f>
        <v>0.37</v>
      </c>
      <c r="I182" s="43"/>
      <c r="J182" s="35">
        <f>ROUND(Source!AC84*Source!I84, 2)</f>
        <v>1.4</v>
      </c>
      <c r="K182" s="43"/>
      <c r="L182" s="35"/>
    </row>
    <row r="183" spans="1:56" ht="14.25">
      <c r="A183" s="57"/>
      <c r="B183" s="57"/>
      <c r="C183" s="57" t="s">
        <v>795</v>
      </c>
      <c r="D183" s="42" t="s">
        <v>796</v>
      </c>
      <c r="E183" s="38">
        <f>Source!AQ84</f>
        <v>1.99</v>
      </c>
      <c r="F183" s="38">
        <f>ROUND(1.2*1.15,7)</f>
        <v>1.38</v>
      </c>
      <c r="G183" s="38">
        <f>ROUND(Source!U84, 7)</f>
        <v>10.408098000000001</v>
      </c>
      <c r="H183" s="35"/>
      <c r="I183" s="43"/>
      <c r="J183" s="35"/>
      <c r="K183" s="43"/>
      <c r="L183" s="35"/>
    </row>
    <row r="184" spans="1:56" ht="14.25">
      <c r="A184" s="57"/>
      <c r="B184" s="57"/>
      <c r="C184" s="59" t="s">
        <v>807</v>
      </c>
      <c r="D184" s="44" t="s">
        <v>796</v>
      </c>
      <c r="E184" s="45">
        <f>Source!AR84</f>
        <v>0.08</v>
      </c>
      <c r="F184" s="45">
        <f>ROUND(1.2*1.15,7)</f>
        <v>1.38</v>
      </c>
      <c r="G184" s="45">
        <f>ROUND(Source!V84, 7)</f>
        <v>0.41841600000000001</v>
      </c>
      <c r="H184" s="46"/>
      <c r="I184" s="47"/>
      <c r="J184" s="46"/>
      <c r="K184" s="47"/>
      <c r="L184" s="46"/>
    </row>
    <row r="185" spans="1:56" ht="14.25">
      <c r="A185" s="57"/>
      <c r="B185" s="57"/>
      <c r="C185" s="57" t="s">
        <v>797</v>
      </c>
      <c r="D185" s="42"/>
      <c r="E185" s="38"/>
      <c r="F185" s="38"/>
      <c r="G185" s="38"/>
      <c r="H185" s="35">
        <f>H180+H181+H182</f>
        <v>25.44</v>
      </c>
      <c r="I185" s="43"/>
      <c r="J185" s="35">
        <f>J180+J181+J182</f>
        <v>132.5</v>
      </c>
      <c r="K185" s="43"/>
      <c r="L185" s="35"/>
    </row>
    <row r="186" spans="1:56" ht="14.25">
      <c r="A186" s="57"/>
      <c r="B186" s="57"/>
      <c r="C186" s="57" t="s">
        <v>798</v>
      </c>
      <c r="D186" s="42"/>
      <c r="E186" s="38"/>
      <c r="F186" s="38"/>
      <c r="G186" s="38"/>
      <c r="H186" s="35"/>
      <c r="I186" s="43"/>
      <c r="J186" s="35">
        <f>SUM(Q177:Q189)+SUM(V177:V189)+SUM(X177:X189)+SUM(Y177:Y189)</f>
        <v>97.33</v>
      </c>
      <c r="K186" s="43"/>
      <c r="L186" s="35">
        <f>SUM(U177:U189)+SUM(W177:W189)+SUM(Z177:Z189)+SUM(AA177:AA189)</f>
        <v>2815.76</v>
      </c>
    </row>
    <row r="187" spans="1:56" ht="28.5">
      <c r="A187" s="57"/>
      <c r="B187" s="57" t="s">
        <v>162</v>
      </c>
      <c r="C187" s="57" t="s">
        <v>836</v>
      </c>
      <c r="D187" s="42" t="s">
        <v>800</v>
      </c>
      <c r="E187" s="38">
        <f>Source!BZ84</f>
        <v>97</v>
      </c>
      <c r="F187" s="38"/>
      <c r="G187" s="38">
        <f>Source!AT84</f>
        <v>97</v>
      </c>
      <c r="H187" s="35"/>
      <c r="I187" s="43"/>
      <c r="J187" s="35">
        <f>SUM(AG177:AG189)</f>
        <v>94.41</v>
      </c>
      <c r="K187" s="43"/>
      <c r="L187" s="35">
        <f>SUM(AH177:AH189)</f>
        <v>2731.29</v>
      </c>
    </row>
    <row r="188" spans="1:56" ht="28.5">
      <c r="A188" s="59"/>
      <c r="B188" s="59" t="s">
        <v>163</v>
      </c>
      <c r="C188" s="59" t="s">
        <v>837</v>
      </c>
      <c r="D188" s="44" t="s">
        <v>800</v>
      </c>
      <c r="E188" s="45">
        <f>Source!CA84</f>
        <v>51</v>
      </c>
      <c r="F188" s="45"/>
      <c r="G188" s="45">
        <f>Source!AU84</f>
        <v>51</v>
      </c>
      <c r="H188" s="46"/>
      <c r="I188" s="47"/>
      <c r="J188" s="46">
        <f>SUM(AI177:AI189)</f>
        <v>49.64</v>
      </c>
      <c r="K188" s="47"/>
      <c r="L188" s="46">
        <f>SUM(AJ177:AJ189)</f>
        <v>1436.04</v>
      </c>
    </row>
    <row r="189" spans="1:56" ht="15">
      <c r="C189" s="108" t="s">
        <v>802</v>
      </c>
      <c r="D189" s="108"/>
      <c r="E189" s="108"/>
      <c r="F189" s="108"/>
      <c r="G189" s="108"/>
      <c r="H189" s="108"/>
      <c r="I189" s="108">
        <f>J180+J181+J182+J187+J188</f>
        <v>276.55</v>
      </c>
      <c r="J189" s="108"/>
      <c r="O189" s="33">
        <f>I189</f>
        <v>276.55</v>
      </c>
      <c r="P189">
        <f>K189</f>
        <v>0</v>
      </c>
      <c r="Q189" s="33">
        <f>J180</f>
        <v>97.33</v>
      </c>
      <c r="R189" s="33">
        <f>J180</f>
        <v>97.33</v>
      </c>
      <c r="U189" s="33">
        <f>L180</f>
        <v>2815.76</v>
      </c>
      <c r="X189">
        <f>0</f>
        <v>0</v>
      </c>
      <c r="Z189">
        <f>0</f>
        <v>0</v>
      </c>
      <c r="AB189" s="33">
        <f>J181</f>
        <v>33.770000000000003</v>
      </c>
      <c r="AD189" s="33">
        <f>L181</f>
        <v>0</v>
      </c>
      <c r="AF189" s="33">
        <f>J182</f>
        <v>1.4</v>
      </c>
      <c r="AN189">
        <f>IF(Source!BI84&lt;=1,J180+J181+J182+J187+J188, 0)</f>
        <v>0</v>
      </c>
      <c r="AO189">
        <f>IF(Source!BI84&lt;=1,J182, 0)</f>
        <v>0</v>
      </c>
      <c r="AP189">
        <f>IF(Source!BI84&lt;=1,J181, 0)</f>
        <v>0</v>
      </c>
      <c r="AQ189">
        <f>IF(Source!BI84&lt;=1,J180, 0)</f>
        <v>0</v>
      </c>
      <c r="AX189">
        <f>IF(Source!BI84=2,J180+J181+J182+J187+J188, 0)</f>
        <v>276.55</v>
      </c>
      <c r="AY189">
        <f>IF(Source!BI84=2,J182, 0)</f>
        <v>1.4</v>
      </c>
      <c r="AZ189">
        <f>IF(Source!BI84=2,J181, 0)</f>
        <v>33.770000000000003</v>
      </c>
      <c r="BA189">
        <f>IF(Source!BI84=2,J180, 0)</f>
        <v>97.33</v>
      </c>
    </row>
    <row r="190" spans="1:56" ht="105">
      <c r="A190" s="57">
        <v>14</v>
      </c>
      <c r="B190" s="57" t="str">
        <f>Source!F85</f>
        <v>м08-02-143-1</v>
      </c>
      <c r="C190" s="57" t="s">
        <v>839</v>
      </c>
      <c r="D190" s="42" t="str">
        <f>Source!H85</f>
        <v>100 м кабеля</v>
      </c>
      <c r="E190" s="38">
        <f>Source!K85</f>
        <v>3.75</v>
      </c>
      <c r="F190" s="38"/>
      <c r="G190" s="38">
        <f>Source!I85</f>
        <v>3.75</v>
      </c>
      <c r="H190" s="35"/>
      <c r="I190" s="43"/>
      <c r="J190" s="35"/>
      <c r="K190" s="43"/>
      <c r="L190" s="35"/>
      <c r="AG190">
        <f>Source!X85</f>
        <v>358.48</v>
      </c>
      <c r="AH190">
        <f>Source!HK85</f>
        <v>10370.91</v>
      </c>
      <c r="AI190">
        <f>Source!Y85</f>
        <v>188.48</v>
      </c>
      <c r="AJ190">
        <f>Source!HL85</f>
        <v>5452.75</v>
      </c>
      <c r="AS190">
        <f>IF(Source!BI85&lt;=1,AH190, 0)</f>
        <v>0</v>
      </c>
      <c r="AT190">
        <f>IF(Source!BI85&lt;=1,AJ190, 0)</f>
        <v>0</v>
      </c>
      <c r="BC190">
        <f>IF(Source!BI85=2,AH190, 0)</f>
        <v>10370.91</v>
      </c>
      <c r="BD190">
        <f>IF(Source!BI85=2,AJ190, 0)</f>
        <v>5452.75</v>
      </c>
    </row>
    <row r="192" spans="1:56">
      <c r="C192" s="32" t="str">
        <f>"Объем: "&amp;Source!K85&amp;"=375/"&amp;"100"</f>
        <v>Объем: 3,75=375/100</v>
      </c>
    </row>
    <row r="193" spans="1:56" ht="14.25">
      <c r="A193" s="57"/>
      <c r="B193" s="58">
        <v>1</v>
      </c>
      <c r="C193" s="57" t="s">
        <v>794</v>
      </c>
      <c r="D193" s="42"/>
      <c r="E193" s="38"/>
      <c r="F193" s="38"/>
      <c r="G193" s="38"/>
      <c r="H193" s="35">
        <f>Source!AO85</f>
        <v>48.71</v>
      </c>
      <c r="I193" s="43">
        <f>ROUND(1.2*1.15,7)</f>
        <v>1.38</v>
      </c>
      <c r="J193" s="35">
        <f>ROUND(Source!AF85*Source!I85, 2)</f>
        <v>252.08</v>
      </c>
      <c r="K193" s="43">
        <f>IF(Source!BA85&lt;&gt; 0, Source!BA85, 1)</f>
        <v>28.93</v>
      </c>
      <c r="L193" s="35">
        <f>Source!HJ85</f>
        <v>7292.67</v>
      </c>
    </row>
    <row r="194" spans="1:56" ht="14.25">
      <c r="A194" s="57"/>
      <c r="B194" s="58">
        <v>3</v>
      </c>
      <c r="C194" s="57" t="s">
        <v>805</v>
      </c>
      <c r="D194" s="42"/>
      <c r="E194" s="38"/>
      <c r="F194" s="38"/>
      <c r="G194" s="38"/>
      <c r="H194" s="35">
        <f>Source!AM85</f>
        <v>410.82</v>
      </c>
      <c r="I194" s="43">
        <f>ROUND(1.2*1.15,7)</f>
        <v>1.38</v>
      </c>
      <c r="J194" s="35">
        <f>ROUND(Source!AD85*Source!I85, 2)</f>
        <v>2126.0300000000002</v>
      </c>
      <c r="K194" s="43"/>
      <c r="L194" s="35"/>
    </row>
    <row r="195" spans="1:56" ht="14.25">
      <c r="A195" s="57"/>
      <c r="B195" s="58">
        <v>2</v>
      </c>
      <c r="C195" s="57" t="s">
        <v>806</v>
      </c>
      <c r="D195" s="42"/>
      <c r="E195" s="38"/>
      <c r="F195" s="38"/>
      <c r="G195" s="38"/>
      <c r="H195" s="35">
        <f>Source!AN85</f>
        <v>22.7</v>
      </c>
      <c r="I195" s="43">
        <f>ROUND(1.2*1.15,7)</f>
        <v>1.38</v>
      </c>
      <c r="J195" s="48">
        <f>ROUND(Source!AE85*Source!I85, 2)</f>
        <v>117.49</v>
      </c>
      <c r="K195" s="43">
        <f>IF(Source!BS85&lt;&gt; 0, Source!BS85, 1)</f>
        <v>28.93</v>
      </c>
      <c r="L195" s="48">
        <f>Source!HI85</f>
        <v>3398.99</v>
      </c>
    </row>
    <row r="196" spans="1:56" ht="14.25">
      <c r="A196" s="57"/>
      <c r="B196" s="58">
        <v>4</v>
      </c>
      <c r="C196" s="57" t="s">
        <v>813</v>
      </c>
      <c r="D196" s="42"/>
      <c r="E196" s="38"/>
      <c r="F196" s="38"/>
      <c r="G196" s="38"/>
      <c r="H196" s="35">
        <f>Source!AL85</f>
        <v>0.97</v>
      </c>
      <c r="I196" s="43"/>
      <c r="J196" s="35">
        <f>ROUND(Source!AC85*Source!I85, 2)</f>
        <v>3.64</v>
      </c>
      <c r="K196" s="43"/>
      <c r="L196" s="35"/>
    </row>
    <row r="197" spans="1:56" ht="14.25">
      <c r="A197" s="57"/>
      <c r="B197" s="57"/>
      <c r="C197" s="57" t="s">
        <v>795</v>
      </c>
      <c r="D197" s="42" t="s">
        <v>796</v>
      </c>
      <c r="E197" s="38">
        <f>Source!AQ85</f>
        <v>5.21</v>
      </c>
      <c r="F197" s="38">
        <f>ROUND(1.2*1.15,7)</f>
        <v>1.38</v>
      </c>
      <c r="G197" s="38">
        <f>ROUND(Source!U85, 7)</f>
        <v>26.961749999999999</v>
      </c>
      <c r="H197" s="35"/>
      <c r="I197" s="43"/>
      <c r="J197" s="35"/>
      <c r="K197" s="43"/>
      <c r="L197" s="35"/>
    </row>
    <row r="198" spans="1:56" ht="14.25">
      <c r="A198" s="57"/>
      <c r="B198" s="57"/>
      <c r="C198" s="59" t="s">
        <v>807</v>
      </c>
      <c r="D198" s="44" t="s">
        <v>796</v>
      </c>
      <c r="E198" s="45">
        <f>Source!AR85</f>
        <v>1.73</v>
      </c>
      <c r="F198" s="45">
        <f>ROUND(1.2*1.15,7)</f>
        <v>1.38</v>
      </c>
      <c r="G198" s="45">
        <f>ROUND(Source!V85, 7)</f>
        <v>8.95275</v>
      </c>
      <c r="H198" s="46"/>
      <c r="I198" s="47"/>
      <c r="J198" s="46"/>
      <c r="K198" s="47"/>
      <c r="L198" s="46"/>
    </row>
    <row r="199" spans="1:56" ht="14.25">
      <c r="A199" s="57"/>
      <c r="B199" s="57"/>
      <c r="C199" s="57" t="s">
        <v>797</v>
      </c>
      <c r="D199" s="42"/>
      <c r="E199" s="38"/>
      <c r="F199" s="38"/>
      <c r="G199" s="38"/>
      <c r="H199" s="35">
        <f>H193+H194+H196</f>
        <v>460.5</v>
      </c>
      <c r="I199" s="43"/>
      <c r="J199" s="35">
        <f>J193+J194+J196</f>
        <v>2381.75</v>
      </c>
      <c r="K199" s="43"/>
      <c r="L199" s="35"/>
    </row>
    <row r="200" spans="1:56" ht="14.25">
      <c r="A200" s="57"/>
      <c r="B200" s="57"/>
      <c r="C200" s="57" t="s">
        <v>798</v>
      </c>
      <c r="D200" s="42"/>
      <c r="E200" s="38"/>
      <c r="F200" s="38"/>
      <c r="G200" s="38"/>
      <c r="H200" s="35"/>
      <c r="I200" s="43"/>
      <c r="J200" s="35">
        <f>SUM(Q190:Q203)+SUM(V190:V203)+SUM(X190:X203)+SUM(Y190:Y203)</f>
        <v>369.57</v>
      </c>
      <c r="K200" s="43"/>
      <c r="L200" s="35">
        <f>SUM(U190:U203)+SUM(W190:W203)+SUM(Z190:Z203)+SUM(AA190:AA203)</f>
        <v>10691.66</v>
      </c>
    </row>
    <row r="201" spans="1:56" ht="28.5">
      <c r="A201" s="57"/>
      <c r="B201" s="57" t="s">
        <v>162</v>
      </c>
      <c r="C201" s="57" t="s">
        <v>836</v>
      </c>
      <c r="D201" s="42" t="s">
        <v>800</v>
      </c>
      <c r="E201" s="38">
        <f>Source!BZ85</f>
        <v>97</v>
      </c>
      <c r="F201" s="38"/>
      <c r="G201" s="38">
        <f>Source!AT85</f>
        <v>97</v>
      </c>
      <c r="H201" s="35"/>
      <c r="I201" s="43"/>
      <c r="J201" s="35">
        <f>SUM(AG190:AG203)</f>
        <v>358.48</v>
      </c>
      <c r="K201" s="43"/>
      <c r="L201" s="35">
        <f>SUM(AH190:AH203)</f>
        <v>10370.91</v>
      </c>
    </row>
    <row r="202" spans="1:56" ht="28.5">
      <c r="A202" s="59"/>
      <c r="B202" s="59" t="s">
        <v>163</v>
      </c>
      <c r="C202" s="59" t="s">
        <v>837</v>
      </c>
      <c r="D202" s="44" t="s">
        <v>800</v>
      </c>
      <c r="E202" s="45">
        <f>Source!CA85</f>
        <v>51</v>
      </c>
      <c r="F202" s="45"/>
      <c r="G202" s="45">
        <f>Source!AU85</f>
        <v>51</v>
      </c>
      <c r="H202" s="46"/>
      <c r="I202" s="47"/>
      <c r="J202" s="46">
        <f>SUM(AI190:AI203)</f>
        <v>188.48</v>
      </c>
      <c r="K202" s="47"/>
      <c r="L202" s="46">
        <f>SUM(AJ190:AJ203)</f>
        <v>5452.75</v>
      </c>
    </row>
    <row r="203" spans="1:56" ht="15">
      <c r="C203" s="108" t="s">
        <v>802</v>
      </c>
      <c r="D203" s="108"/>
      <c r="E203" s="108"/>
      <c r="F203" s="108"/>
      <c r="G203" s="108"/>
      <c r="H203" s="108"/>
      <c r="I203" s="108">
        <f>J193+J194+J196+J201+J202</f>
        <v>2928.71</v>
      </c>
      <c r="J203" s="108"/>
      <c r="O203" s="33">
        <f>I203</f>
        <v>2928.71</v>
      </c>
      <c r="P203">
        <f>K203</f>
        <v>0</v>
      </c>
      <c r="Q203" s="33">
        <f>J193</f>
        <v>252.08</v>
      </c>
      <c r="R203" s="33">
        <f>J193</f>
        <v>252.08</v>
      </c>
      <c r="U203" s="33">
        <f>L193</f>
        <v>7292.67</v>
      </c>
      <c r="X203" s="33">
        <f>J195</f>
        <v>117.49</v>
      </c>
      <c r="Z203" s="33">
        <f>L195</f>
        <v>3398.99</v>
      </c>
      <c r="AB203" s="33">
        <f>J194</f>
        <v>2126.0300000000002</v>
      </c>
      <c r="AD203" s="33">
        <f>L194</f>
        <v>0</v>
      </c>
      <c r="AF203" s="33">
        <f>J196</f>
        <v>3.64</v>
      </c>
      <c r="AN203">
        <f>IF(Source!BI85&lt;=1,J193+J194+J196+J201+J202, 0)</f>
        <v>0</v>
      </c>
      <c r="AO203">
        <f>IF(Source!BI85&lt;=1,J196, 0)</f>
        <v>0</v>
      </c>
      <c r="AP203">
        <f>IF(Source!BI85&lt;=1,J194, 0)</f>
        <v>0</v>
      </c>
      <c r="AQ203">
        <f>IF(Source!BI85&lt;=1,J193, 0)</f>
        <v>0</v>
      </c>
      <c r="AX203">
        <f>IF(Source!BI85=2,J193+J194+J196+J201+J202, 0)</f>
        <v>2928.71</v>
      </c>
      <c r="AY203">
        <f>IF(Source!BI85=2,J196, 0)</f>
        <v>3.64</v>
      </c>
      <c r="AZ203">
        <f>IF(Source!BI85=2,J194, 0)</f>
        <v>2126.0300000000002</v>
      </c>
      <c r="BA203">
        <f>IF(Source!BI85=2,J193, 0)</f>
        <v>252.08</v>
      </c>
    </row>
    <row r="204" spans="1:56" ht="119.25">
      <c r="A204" s="57">
        <v>15</v>
      </c>
      <c r="B204" s="57" t="str">
        <f>Source!F86</f>
        <v>м08-02-143-2</v>
      </c>
      <c r="C204" s="57" t="s">
        <v>840</v>
      </c>
      <c r="D204" s="42" t="str">
        <f>Source!H86</f>
        <v>100 м кабеля</v>
      </c>
      <c r="E204" s="38">
        <f>Source!K86</f>
        <v>3.75</v>
      </c>
      <c r="F204" s="38"/>
      <c r="G204" s="38">
        <f>Source!I86</f>
        <v>3.75</v>
      </c>
      <c r="H204" s="35"/>
      <c r="I204" s="43"/>
      <c r="J204" s="35"/>
      <c r="K204" s="43"/>
      <c r="L204" s="35"/>
      <c r="AG204">
        <f>Source!X86</f>
        <v>187.59</v>
      </c>
      <c r="AH204">
        <f>Source!HK86</f>
        <v>5426.93</v>
      </c>
      <c r="AI204">
        <f>Source!Y86</f>
        <v>98.63</v>
      </c>
      <c r="AJ204">
        <f>Source!HL86</f>
        <v>2853.33</v>
      </c>
      <c r="AS204">
        <f>IF(Source!BI86&lt;=1,AH204, 0)</f>
        <v>0</v>
      </c>
      <c r="AT204">
        <f>IF(Source!BI86&lt;=1,AJ204, 0)</f>
        <v>0</v>
      </c>
      <c r="BC204">
        <f>IF(Source!BI86=2,AH204, 0)</f>
        <v>5426.93</v>
      </c>
      <c r="BD204">
        <f>IF(Source!BI86=2,AJ204, 0)</f>
        <v>2853.33</v>
      </c>
    </row>
    <row r="206" spans="1:56">
      <c r="C206" s="32" t="str">
        <f>"Объем: "&amp;Source!K86&amp;"=375/"&amp;"100"</f>
        <v>Объем: 3,75=375/100</v>
      </c>
    </row>
    <row r="207" spans="1:56" ht="14.25">
      <c r="A207" s="57"/>
      <c r="B207" s="58">
        <v>1</v>
      </c>
      <c r="C207" s="57" t="s">
        <v>794</v>
      </c>
      <c r="D207" s="42"/>
      <c r="E207" s="38"/>
      <c r="F207" s="38"/>
      <c r="G207" s="38"/>
      <c r="H207" s="35">
        <f>Source!AO86</f>
        <v>25.43</v>
      </c>
      <c r="I207" s="43">
        <f>ROUND(1.2*1.15,7)</f>
        <v>1.38</v>
      </c>
      <c r="J207" s="35">
        <f>ROUND(Source!AF86*Source!I86, 2)</f>
        <v>131.59</v>
      </c>
      <c r="K207" s="43">
        <f>IF(Source!BA86&lt;&gt; 0, Source!BA86, 1)</f>
        <v>28.93</v>
      </c>
      <c r="L207" s="35">
        <f>Source!HJ86</f>
        <v>3806.9</v>
      </c>
    </row>
    <row r="208" spans="1:56" ht="14.25">
      <c r="A208" s="57"/>
      <c r="B208" s="58">
        <v>3</v>
      </c>
      <c r="C208" s="57" t="s">
        <v>805</v>
      </c>
      <c r="D208" s="42"/>
      <c r="E208" s="38"/>
      <c r="F208" s="38"/>
      <c r="G208" s="38"/>
      <c r="H208" s="35">
        <f>Source!AM86</f>
        <v>216.1</v>
      </c>
      <c r="I208" s="43">
        <f>ROUND(1.2*1.15,7)</f>
        <v>1.38</v>
      </c>
      <c r="J208" s="35">
        <f>ROUND(Source!AD86*Source!I86, 2)</f>
        <v>1118.33</v>
      </c>
      <c r="K208" s="43"/>
      <c r="L208" s="35"/>
    </row>
    <row r="209" spans="1:56" ht="14.25">
      <c r="A209" s="57"/>
      <c r="B209" s="58">
        <v>2</v>
      </c>
      <c r="C209" s="57" t="s">
        <v>806</v>
      </c>
      <c r="D209" s="42"/>
      <c r="E209" s="38"/>
      <c r="F209" s="38"/>
      <c r="G209" s="38"/>
      <c r="H209" s="35">
        <f>Source!AN86</f>
        <v>11.94</v>
      </c>
      <c r="I209" s="43">
        <f>ROUND(1.2*1.15,7)</f>
        <v>1.38</v>
      </c>
      <c r="J209" s="48">
        <f>ROUND(Source!AE86*Source!I86, 2)</f>
        <v>61.8</v>
      </c>
      <c r="K209" s="43">
        <f>IF(Source!BS86&lt;&gt; 0, Source!BS86, 1)</f>
        <v>28.93</v>
      </c>
      <c r="L209" s="48">
        <f>Source!HI86</f>
        <v>1787.87</v>
      </c>
    </row>
    <row r="210" spans="1:56" ht="14.25">
      <c r="A210" s="57"/>
      <c r="B210" s="58">
        <v>4</v>
      </c>
      <c r="C210" s="57" t="s">
        <v>813</v>
      </c>
      <c r="D210" s="42"/>
      <c r="E210" s="38"/>
      <c r="F210" s="38"/>
      <c r="G210" s="38"/>
      <c r="H210" s="35">
        <f>Source!AL86</f>
        <v>0.51</v>
      </c>
      <c r="I210" s="43"/>
      <c r="J210" s="35">
        <f>ROUND(Source!AC86*Source!I86, 2)</f>
        <v>1.91</v>
      </c>
      <c r="K210" s="43"/>
      <c r="L210" s="35"/>
    </row>
    <row r="211" spans="1:56" ht="14.25">
      <c r="A211" s="57"/>
      <c r="B211" s="57"/>
      <c r="C211" s="57" t="s">
        <v>795</v>
      </c>
      <c r="D211" s="42" t="s">
        <v>796</v>
      </c>
      <c r="E211" s="38">
        <f>Source!AQ86</f>
        <v>2.72</v>
      </c>
      <c r="F211" s="38">
        <f>ROUND(1.2*1.15,7)</f>
        <v>1.38</v>
      </c>
      <c r="G211" s="38">
        <f>ROUND(Source!U86, 7)</f>
        <v>14.076000000000001</v>
      </c>
      <c r="H211" s="35"/>
      <c r="I211" s="43"/>
      <c r="J211" s="35"/>
      <c r="K211" s="43"/>
      <c r="L211" s="35"/>
    </row>
    <row r="212" spans="1:56" ht="14.25">
      <c r="A212" s="57"/>
      <c r="B212" s="57"/>
      <c r="C212" s="59" t="s">
        <v>807</v>
      </c>
      <c r="D212" s="44" t="s">
        <v>796</v>
      </c>
      <c r="E212" s="45">
        <f>Source!AR86</f>
        <v>1.82</v>
      </c>
      <c r="F212" s="45">
        <f>ROUND(1.2*1.15,7)</f>
        <v>1.38</v>
      </c>
      <c r="G212" s="45">
        <f>ROUND(Source!V86, 7)</f>
        <v>9.4184999999999999</v>
      </c>
      <c r="H212" s="46"/>
      <c r="I212" s="47"/>
      <c r="J212" s="46"/>
      <c r="K212" s="47"/>
      <c r="L212" s="46"/>
    </row>
    <row r="213" spans="1:56" ht="14.25">
      <c r="A213" s="57"/>
      <c r="B213" s="57"/>
      <c r="C213" s="57" t="s">
        <v>797</v>
      </c>
      <c r="D213" s="42"/>
      <c r="E213" s="38"/>
      <c r="F213" s="38"/>
      <c r="G213" s="38"/>
      <c r="H213" s="35">
        <f>H207+H208+H210</f>
        <v>242.04</v>
      </c>
      <c r="I213" s="43"/>
      <c r="J213" s="35">
        <f>J207+J208+J210</f>
        <v>1251.83</v>
      </c>
      <c r="K213" s="43"/>
      <c r="L213" s="35"/>
    </row>
    <row r="214" spans="1:56" ht="14.25">
      <c r="A214" s="57"/>
      <c r="B214" s="57"/>
      <c r="C214" s="57" t="s">
        <v>798</v>
      </c>
      <c r="D214" s="42"/>
      <c r="E214" s="38"/>
      <c r="F214" s="38"/>
      <c r="G214" s="38"/>
      <c r="H214" s="35"/>
      <c r="I214" s="43"/>
      <c r="J214" s="35">
        <f>SUM(Q204:Q217)+SUM(V204:V217)+SUM(X204:X217)+SUM(Y204:Y217)</f>
        <v>193.39</v>
      </c>
      <c r="K214" s="43"/>
      <c r="L214" s="35">
        <f>SUM(U204:U217)+SUM(W204:W217)+SUM(Z204:Z217)+SUM(AA204:AA217)</f>
        <v>5594.77</v>
      </c>
    </row>
    <row r="215" spans="1:56" ht="28.5">
      <c r="A215" s="57"/>
      <c r="B215" s="57" t="s">
        <v>162</v>
      </c>
      <c r="C215" s="57" t="s">
        <v>836</v>
      </c>
      <c r="D215" s="42" t="s">
        <v>800</v>
      </c>
      <c r="E215" s="38">
        <f>Source!BZ86</f>
        <v>97</v>
      </c>
      <c r="F215" s="38"/>
      <c r="G215" s="38">
        <f>Source!AT86</f>
        <v>97</v>
      </c>
      <c r="H215" s="35"/>
      <c r="I215" s="43"/>
      <c r="J215" s="35">
        <f>SUM(AG204:AG217)</f>
        <v>187.59</v>
      </c>
      <c r="K215" s="43"/>
      <c r="L215" s="35">
        <f>SUM(AH204:AH217)</f>
        <v>5426.93</v>
      </c>
    </row>
    <row r="216" spans="1:56" ht="28.5">
      <c r="A216" s="59"/>
      <c r="B216" s="59" t="s">
        <v>163</v>
      </c>
      <c r="C216" s="59" t="s">
        <v>837</v>
      </c>
      <c r="D216" s="44" t="s">
        <v>800</v>
      </c>
      <c r="E216" s="45">
        <f>Source!CA86</f>
        <v>51</v>
      </c>
      <c r="F216" s="45"/>
      <c r="G216" s="45">
        <f>Source!AU86</f>
        <v>51</v>
      </c>
      <c r="H216" s="46"/>
      <c r="I216" s="47"/>
      <c r="J216" s="46">
        <f>SUM(AI204:AI217)</f>
        <v>98.63</v>
      </c>
      <c r="K216" s="47"/>
      <c r="L216" s="46">
        <f>SUM(AJ204:AJ217)</f>
        <v>2853.33</v>
      </c>
    </row>
    <row r="217" spans="1:56" ht="15">
      <c r="C217" s="108" t="s">
        <v>802</v>
      </c>
      <c r="D217" s="108"/>
      <c r="E217" s="108"/>
      <c r="F217" s="108"/>
      <c r="G217" s="108"/>
      <c r="H217" s="108"/>
      <c r="I217" s="108">
        <f>J207+J208+J210+J215+J216</f>
        <v>1538.0499999999997</v>
      </c>
      <c r="J217" s="108"/>
      <c r="O217" s="33">
        <f>I217</f>
        <v>1538.0499999999997</v>
      </c>
      <c r="P217">
        <f>K217</f>
        <v>0</v>
      </c>
      <c r="Q217" s="33">
        <f>J207</f>
        <v>131.59</v>
      </c>
      <c r="R217" s="33">
        <f>J207</f>
        <v>131.59</v>
      </c>
      <c r="U217" s="33">
        <f>L207</f>
        <v>3806.9</v>
      </c>
      <c r="X217" s="33">
        <f>J209</f>
        <v>61.8</v>
      </c>
      <c r="Z217" s="33">
        <f>L209</f>
        <v>1787.87</v>
      </c>
      <c r="AB217" s="33">
        <f>J208</f>
        <v>1118.33</v>
      </c>
      <c r="AD217" s="33">
        <f>L208</f>
        <v>0</v>
      </c>
      <c r="AF217" s="33">
        <f>J210</f>
        <v>1.91</v>
      </c>
      <c r="AN217">
        <f>IF(Source!BI86&lt;=1,J207+J208+J210+J215+J216, 0)</f>
        <v>0</v>
      </c>
      <c r="AO217">
        <f>IF(Source!BI86&lt;=1,J210, 0)</f>
        <v>0</v>
      </c>
      <c r="AP217">
        <f>IF(Source!BI86&lt;=1,J208, 0)</f>
        <v>0</v>
      </c>
      <c r="AQ217">
        <f>IF(Source!BI86&lt;=1,J207, 0)</f>
        <v>0</v>
      </c>
      <c r="AX217">
        <f>IF(Source!BI86=2,J207+J208+J210+J215+J216, 0)</f>
        <v>1538.0499999999997</v>
      </c>
      <c r="AY217">
        <f>IF(Source!BI86=2,J210, 0)</f>
        <v>1.91</v>
      </c>
      <c r="AZ217">
        <f>IF(Source!BI86=2,J208, 0)</f>
        <v>1118.33</v>
      </c>
      <c r="BA217">
        <f>IF(Source!BI86=2,J207, 0)</f>
        <v>131.59</v>
      </c>
    </row>
    <row r="218" spans="1:56" ht="105">
      <c r="A218" s="57">
        <v>16</v>
      </c>
      <c r="B218" s="57" t="str">
        <f>Source!F87</f>
        <v>м08-02-141-4</v>
      </c>
      <c r="C218" s="57" t="s">
        <v>841</v>
      </c>
      <c r="D218" s="42" t="str">
        <f>Source!H87</f>
        <v>100 м кабеля</v>
      </c>
      <c r="E218" s="38">
        <f>Source!K87</f>
        <v>8.1</v>
      </c>
      <c r="F218" s="38"/>
      <c r="G218" s="38">
        <f>Source!I87</f>
        <v>8.1</v>
      </c>
      <c r="H218" s="35"/>
      <c r="I218" s="43"/>
      <c r="J218" s="35"/>
      <c r="K218" s="43"/>
      <c r="L218" s="35"/>
      <c r="AG218">
        <f>Source!X87</f>
        <v>1955.76</v>
      </c>
      <c r="AH218">
        <f>Source!HK87</f>
        <v>56580.21</v>
      </c>
      <c r="AI218">
        <f>Source!Y87</f>
        <v>1028.29</v>
      </c>
      <c r="AJ218">
        <f>Source!HL87</f>
        <v>29748.36</v>
      </c>
      <c r="AS218">
        <f>IF(Source!BI87&lt;=1,AH218, 0)</f>
        <v>0</v>
      </c>
      <c r="AT218">
        <f>IF(Source!BI87&lt;=1,AJ218, 0)</f>
        <v>0</v>
      </c>
      <c r="BC218">
        <f>IF(Source!BI87=2,AH218, 0)</f>
        <v>56580.21</v>
      </c>
      <c r="BD218">
        <f>IF(Source!BI87=2,AJ218, 0)</f>
        <v>29748.36</v>
      </c>
    </row>
    <row r="220" spans="1:56">
      <c r="C220" s="32" t="str">
        <f>"Объем: "&amp;Source!K87&amp;"=810/"&amp;"100"</f>
        <v>Объем: 8,1=810/100</v>
      </c>
    </row>
    <row r="221" spans="1:56" ht="14.25">
      <c r="A221" s="57"/>
      <c r="B221" s="58">
        <v>1</v>
      </c>
      <c r="C221" s="57" t="s">
        <v>794</v>
      </c>
      <c r="D221" s="42"/>
      <c r="E221" s="38"/>
      <c r="F221" s="38"/>
      <c r="G221" s="38"/>
      <c r="H221" s="35">
        <f>Source!AO87</f>
        <v>163.06</v>
      </c>
      <c r="I221" s="43">
        <f>ROUND(1.15*1.2,7)</f>
        <v>1.38</v>
      </c>
      <c r="J221" s="35">
        <f>ROUND(Source!AF87*Source!I87, 2)</f>
        <v>1822.66</v>
      </c>
      <c r="K221" s="43">
        <f>IF(Source!BA87&lt;&gt; 0, Source!BA87, 1)</f>
        <v>28.93</v>
      </c>
      <c r="L221" s="35">
        <f>Source!HJ87</f>
        <v>52729.55</v>
      </c>
    </row>
    <row r="222" spans="1:56" ht="14.25">
      <c r="A222" s="57"/>
      <c r="B222" s="58">
        <v>3</v>
      </c>
      <c r="C222" s="57" t="s">
        <v>805</v>
      </c>
      <c r="D222" s="42"/>
      <c r="E222" s="38"/>
      <c r="F222" s="38"/>
      <c r="G222" s="38"/>
      <c r="H222" s="35">
        <f>Source!AM87</f>
        <v>370.39</v>
      </c>
      <c r="I222" s="43">
        <f>ROUND(1.15*1.2,7)</f>
        <v>1.38</v>
      </c>
      <c r="J222" s="35">
        <f>ROUND(Source!AD87*Source!I87, 2)</f>
        <v>4140.2299999999996</v>
      </c>
      <c r="K222" s="43"/>
      <c r="L222" s="35"/>
    </row>
    <row r="223" spans="1:56" ht="14.25">
      <c r="A223" s="57"/>
      <c r="B223" s="58">
        <v>2</v>
      </c>
      <c r="C223" s="57" t="s">
        <v>806</v>
      </c>
      <c r="D223" s="42"/>
      <c r="E223" s="38"/>
      <c r="F223" s="38"/>
      <c r="G223" s="38"/>
      <c r="H223" s="35">
        <f>Source!AN87</f>
        <v>17.32</v>
      </c>
      <c r="I223" s="43">
        <f>ROUND(1.15*1.2,7)</f>
        <v>1.38</v>
      </c>
      <c r="J223" s="48">
        <f>ROUND(Source!AE87*Source!I87, 2)</f>
        <v>193.59</v>
      </c>
      <c r="K223" s="43">
        <f>IF(Source!BS87&lt;&gt; 0, Source!BS87, 1)</f>
        <v>28.93</v>
      </c>
      <c r="L223" s="48">
        <f>Source!HI87</f>
        <v>5600.56</v>
      </c>
    </row>
    <row r="224" spans="1:56" ht="14.25">
      <c r="A224" s="57"/>
      <c r="B224" s="58">
        <v>4</v>
      </c>
      <c r="C224" s="57" t="s">
        <v>813</v>
      </c>
      <c r="D224" s="42"/>
      <c r="E224" s="38"/>
      <c r="F224" s="38"/>
      <c r="G224" s="38"/>
      <c r="H224" s="35">
        <f>Source!AL87</f>
        <v>97.81</v>
      </c>
      <c r="I224" s="43"/>
      <c r="J224" s="35">
        <f>ROUND(Source!AC87*Source!I87, 2)</f>
        <v>792.26</v>
      </c>
      <c r="K224" s="43"/>
      <c r="L224" s="35"/>
    </row>
    <row r="225" spans="1:56" ht="14.25">
      <c r="A225" s="57"/>
      <c r="B225" s="57"/>
      <c r="C225" s="57" t="s">
        <v>795</v>
      </c>
      <c r="D225" s="42" t="s">
        <v>796</v>
      </c>
      <c r="E225" s="38">
        <f>Source!AQ87</f>
        <v>17.440000000000001</v>
      </c>
      <c r="F225" s="38">
        <f>ROUND(1.15*1.2,7)</f>
        <v>1.38</v>
      </c>
      <c r="G225" s="38">
        <f>ROUND(Source!U87, 7)</f>
        <v>194.94432</v>
      </c>
      <c r="H225" s="35"/>
      <c r="I225" s="43"/>
      <c r="J225" s="35"/>
      <c r="K225" s="43"/>
      <c r="L225" s="35"/>
    </row>
    <row r="226" spans="1:56" ht="14.25">
      <c r="A226" s="57"/>
      <c r="B226" s="57"/>
      <c r="C226" s="59" t="s">
        <v>807</v>
      </c>
      <c r="D226" s="44" t="s">
        <v>796</v>
      </c>
      <c r="E226" s="45">
        <f>Source!AR87</f>
        <v>2.64</v>
      </c>
      <c r="F226" s="45">
        <f>ROUND(1.15*1.2,7)</f>
        <v>1.38</v>
      </c>
      <c r="G226" s="45">
        <f>ROUND(Source!V87, 7)</f>
        <v>29.509920000000001</v>
      </c>
      <c r="H226" s="46"/>
      <c r="I226" s="47"/>
      <c r="J226" s="46"/>
      <c r="K226" s="47"/>
      <c r="L226" s="46"/>
    </row>
    <row r="227" spans="1:56" ht="14.25">
      <c r="A227" s="57"/>
      <c r="B227" s="57"/>
      <c r="C227" s="57" t="s">
        <v>797</v>
      </c>
      <c r="D227" s="42"/>
      <c r="E227" s="38"/>
      <c r="F227" s="38"/>
      <c r="G227" s="38"/>
      <c r="H227" s="35">
        <f>H221+H222+H224</f>
        <v>631.26</v>
      </c>
      <c r="I227" s="43"/>
      <c r="J227" s="35">
        <f>J221+J222+J224</f>
        <v>6755.15</v>
      </c>
      <c r="K227" s="43"/>
      <c r="L227" s="35"/>
    </row>
    <row r="228" spans="1:56" ht="14.25">
      <c r="A228" s="57"/>
      <c r="B228" s="57"/>
      <c r="C228" s="57" t="s">
        <v>798</v>
      </c>
      <c r="D228" s="42"/>
      <c r="E228" s="38"/>
      <c r="F228" s="38"/>
      <c r="G228" s="38"/>
      <c r="H228" s="35"/>
      <c r="I228" s="43"/>
      <c r="J228" s="35">
        <f>SUM(Q218:Q231)+SUM(V218:V231)+SUM(X218:X231)+SUM(Y218:Y231)</f>
        <v>2016.25</v>
      </c>
      <c r="K228" s="43"/>
      <c r="L228" s="35">
        <f>SUM(U218:U231)+SUM(W218:W231)+SUM(Z218:Z231)+SUM(AA218:AA231)</f>
        <v>58330.11</v>
      </c>
    </row>
    <row r="229" spans="1:56" ht="28.5">
      <c r="A229" s="57"/>
      <c r="B229" s="57" t="s">
        <v>162</v>
      </c>
      <c r="C229" s="57" t="s">
        <v>836</v>
      </c>
      <c r="D229" s="42" t="s">
        <v>800</v>
      </c>
      <c r="E229" s="38">
        <f>Source!BZ87</f>
        <v>97</v>
      </c>
      <c r="F229" s="38"/>
      <c r="G229" s="38">
        <f>Source!AT87</f>
        <v>97</v>
      </c>
      <c r="H229" s="35"/>
      <c r="I229" s="43"/>
      <c r="J229" s="35">
        <f>SUM(AG218:AG231)</f>
        <v>1955.76</v>
      </c>
      <c r="K229" s="43"/>
      <c r="L229" s="35">
        <f>SUM(AH218:AH231)</f>
        <v>56580.21</v>
      </c>
    </row>
    <row r="230" spans="1:56" ht="28.5">
      <c r="A230" s="59"/>
      <c r="B230" s="59" t="s">
        <v>163</v>
      </c>
      <c r="C230" s="59" t="s">
        <v>837</v>
      </c>
      <c r="D230" s="44" t="s">
        <v>800</v>
      </c>
      <c r="E230" s="45">
        <f>Source!CA87</f>
        <v>51</v>
      </c>
      <c r="F230" s="45"/>
      <c r="G230" s="45">
        <f>Source!AU87</f>
        <v>51</v>
      </c>
      <c r="H230" s="46"/>
      <c r="I230" s="47"/>
      <c r="J230" s="46">
        <f>SUM(AI218:AI231)</f>
        <v>1028.29</v>
      </c>
      <c r="K230" s="47"/>
      <c r="L230" s="46">
        <f>SUM(AJ218:AJ231)</f>
        <v>29748.36</v>
      </c>
    </row>
    <row r="231" spans="1:56" ht="15">
      <c r="C231" s="108" t="s">
        <v>802</v>
      </c>
      <c r="D231" s="108"/>
      <c r="E231" s="108"/>
      <c r="F231" s="108"/>
      <c r="G231" s="108"/>
      <c r="H231" s="108"/>
      <c r="I231" s="108">
        <f>J221+J222+J224+J229+J230</f>
        <v>9739.2000000000007</v>
      </c>
      <c r="J231" s="108"/>
      <c r="O231" s="33">
        <f>I231</f>
        <v>9739.2000000000007</v>
      </c>
      <c r="P231">
        <f>K231</f>
        <v>0</v>
      </c>
      <c r="Q231" s="33">
        <f>J221</f>
        <v>1822.66</v>
      </c>
      <c r="R231" s="33">
        <f>J221</f>
        <v>1822.66</v>
      </c>
      <c r="U231" s="33">
        <f>L221</f>
        <v>52729.55</v>
      </c>
      <c r="X231" s="33">
        <f>J223</f>
        <v>193.59</v>
      </c>
      <c r="Z231" s="33">
        <f>L223</f>
        <v>5600.56</v>
      </c>
      <c r="AB231" s="33">
        <f>J222</f>
        <v>4140.2299999999996</v>
      </c>
      <c r="AD231" s="33">
        <f>L222</f>
        <v>0</v>
      </c>
      <c r="AF231" s="33">
        <f>J224</f>
        <v>792.26</v>
      </c>
      <c r="AN231">
        <f>IF(Source!BI87&lt;=1,J221+J222+J224+J229+J230, 0)</f>
        <v>0</v>
      </c>
      <c r="AO231">
        <f>IF(Source!BI87&lt;=1,J224, 0)</f>
        <v>0</v>
      </c>
      <c r="AP231">
        <f>IF(Source!BI87&lt;=1,J222, 0)</f>
        <v>0</v>
      </c>
      <c r="AQ231">
        <f>IF(Source!BI87&lt;=1,J221, 0)</f>
        <v>0</v>
      </c>
      <c r="AX231">
        <f>IF(Source!BI87=2,J221+J222+J224+J229+J230, 0)</f>
        <v>9739.2000000000007</v>
      </c>
      <c r="AY231">
        <f>IF(Source!BI87=2,J224, 0)</f>
        <v>792.26</v>
      </c>
      <c r="AZ231">
        <f>IF(Source!BI87=2,J222, 0)</f>
        <v>4140.2299999999996</v>
      </c>
      <c r="BA231">
        <f>IF(Source!BI87=2,J221, 0)</f>
        <v>1822.66</v>
      </c>
    </row>
    <row r="232" spans="1:56" ht="119.25">
      <c r="A232" s="57">
        <v>17</v>
      </c>
      <c r="B232" s="57" t="str">
        <f>Source!F88</f>
        <v>м08-02-148-4</v>
      </c>
      <c r="C232" s="57" t="s">
        <v>842</v>
      </c>
      <c r="D232" s="42" t="str">
        <f>Source!H88</f>
        <v>100 м кабеля</v>
      </c>
      <c r="E232" s="38">
        <f>Source!K88</f>
        <v>1.21</v>
      </c>
      <c r="F232" s="38"/>
      <c r="G232" s="38">
        <f>Source!I88</f>
        <v>1.21</v>
      </c>
      <c r="H232" s="35"/>
      <c r="I232" s="43"/>
      <c r="J232" s="35"/>
      <c r="K232" s="43"/>
      <c r="L232" s="35"/>
      <c r="AG232">
        <f>Source!X88</f>
        <v>353.17</v>
      </c>
      <c r="AH232">
        <f>Source!HK88</f>
        <v>10217.129999999999</v>
      </c>
      <c r="AI232">
        <f>Source!Y88</f>
        <v>185.69</v>
      </c>
      <c r="AJ232">
        <f>Source!HL88</f>
        <v>5371.89</v>
      </c>
      <c r="AS232">
        <f>IF(Source!BI88&lt;=1,AH232, 0)</f>
        <v>0</v>
      </c>
      <c r="AT232">
        <f>IF(Source!BI88&lt;=1,AJ232, 0)</f>
        <v>0</v>
      </c>
      <c r="BC232">
        <f>IF(Source!BI88=2,AH232, 0)</f>
        <v>10217.129999999999</v>
      </c>
      <c r="BD232">
        <f>IF(Source!BI88=2,AJ232, 0)</f>
        <v>5371.89</v>
      </c>
    </row>
    <row r="234" spans="1:56">
      <c r="C234" s="32" t="str">
        <f>"Объем: "&amp;Source!K88&amp;"=121/"&amp;"100"</f>
        <v>Объем: 1,21=121/100</v>
      </c>
    </row>
    <row r="235" spans="1:56" ht="14.25">
      <c r="A235" s="57"/>
      <c r="B235" s="58">
        <v>1</v>
      </c>
      <c r="C235" s="57" t="s">
        <v>794</v>
      </c>
      <c r="D235" s="42"/>
      <c r="E235" s="38"/>
      <c r="F235" s="38"/>
      <c r="G235" s="38"/>
      <c r="H235" s="35">
        <f>Source!AO88</f>
        <v>215.42</v>
      </c>
      <c r="I235" s="43">
        <f>ROUND(1.2*1.15,7)</f>
        <v>1.38</v>
      </c>
      <c r="J235" s="35">
        <f>ROUND(Source!AF88*Source!I88, 2)</f>
        <v>359.71</v>
      </c>
      <c r="K235" s="43">
        <f>IF(Source!BA88&lt;&gt; 0, Source!BA88, 1)</f>
        <v>28.93</v>
      </c>
      <c r="L235" s="35">
        <f>Source!HJ88</f>
        <v>10406.41</v>
      </c>
    </row>
    <row r="236" spans="1:56" ht="14.25">
      <c r="A236" s="57"/>
      <c r="B236" s="58">
        <v>3</v>
      </c>
      <c r="C236" s="57" t="s">
        <v>805</v>
      </c>
      <c r="D236" s="42"/>
      <c r="E236" s="38"/>
      <c r="F236" s="38"/>
      <c r="G236" s="38"/>
      <c r="H236" s="35">
        <f>Source!AM88</f>
        <v>121.2</v>
      </c>
      <c r="I236" s="43">
        <f>ROUND(1.2*1.15,7)</f>
        <v>1.38</v>
      </c>
      <c r="J236" s="35">
        <f>ROUND(Source!AD88*Source!I88, 2)</f>
        <v>202.38</v>
      </c>
      <c r="K236" s="43"/>
      <c r="L236" s="35"/>
    </row>
    <row r="237" spans="1:56" ht="14.25">
      <c r="A237" s="57"/>
      <c r="B237" s="58">
        <v>2</v>
      </c>
      <c r="C237" s="57" t="s">
        <v>806</v>
      </c>
      <c r="D237" s="42"/>
      <c r="E237" s="38"/>
      <c r="F237" s="38"/>
      <c r="G237" s="38"/>
      <c r="H237" s="35">
        <f>Source!AN88</f>
        <v>2.62</v>
      </c>
      <c r="I237" s="43">
        <f>ROUND(1.2*1.15,7)</f>
        <v>1.38</v>
      </c>
      <c r="J237" s="48">
        <f>ROUND(Source!AE88*Source!I88, 2)</f>
        <v>4.38</v>
      </c>
      <c r="K237" s="43">
        <f>IF(Source!BS88&lt;&gt; 0, Source!BS88, 1)</f>
        <v>28.93</v>
      </c>
      <c r="L237" s="48">
        <f>Source!HI88</f>
        <v>126.71</v>
      </c>
    </row>
    <row r="238" spans="1:56" ht="14.25">
      <c r="A238" s="57"/>
      <c r="B238" s="58">
        <v>4</v>
      </c>
      <c r="C238" s="57" t="s">
        <v>813</v>
      </c>
      <c r="D238" s="42"/>
      <c r="E238" s="38"/>
      <c r="F238" s="38"/>
      <c r="G238" s="38"/>
      <c r="H238" s="35">
        <f>Source!AL88</f>
        <v>38.85</v>
      </c>
      <c r="I238" s="43"/>
      <c r="J238" s="35">
        <f>ROUND(Source!AC88*Source!I88, 2)</f>
        <v>47.01</v>
      </c>
      <c r="K238" s="43"/>
      <c r="L238" s="35"/>
    </row>
    <row r="239" spans="1:56" ht="14.25">
      <c r="A239" s="57"/>
      <c r="B239" s="57"/>
      <c r="C239" s="57" t="s">
        <v>795</v>
      </c>
      <c r="D239" s="42" t="s">
        <v>796</v>
      </c>
      <c r="E239" s="38">
        <f>Source!AQ88</f>
        <v>23.04</v>
      </c>
      <c r="F239" s="38">
        <f>ROUND(1.2*1.15,7)</f>
        <v>1.38</v>
      </c>
      <c r="G239" s="38">
        <f>ROUND(Source!U88, 7)</f>
        <v>38.472192</v>
      </c>
      <c r="H239" s="35"/>
      <c r="I239" s="43"/>
      <c r="J239" s="35"/>
      <c r="K239" s="43"/>
      <c r="L239" s="35"/>
    </row>
    <row r="240" spans="1:56" ht="14.25">
      <c r="A240" s="57"/>
      <c r="B240" s="57"/>
      <c r="C240" s="59" t="s">
        <v>807</v>
      </c>
      <c r="D240" s="44" t="s">
        <v>796</v>
      </c>
      <c r="E240" s="45">
        <f>Source!AR88</f>
        <v>0.4</v>
      </c>
      <c r="F240" s="45">
        <f>ROUND(1.2*1.15,7)</f>
        <v>1.38</v>
      </c>
      <c r="G240" s="45">
        <f>ROUND(Source!V88, 7)</f>
        <v>0.66791999999999996</v>
      </c>
      <c r="H240" s="46"/>
      <c r="I240" s="47"/>
      <c r="J240" s="46"/>
      <c r="K240" s="47"/>
      <c r="L240" s="46"/>
    </row>
    <row r="241" spans="1:56" ht="14.25">
      <c r="A241" s="57"/>
      <c r="B241" s="57"/>
      <c r="C241" s="57" t="s">
        <v>797</v>
      </c>
      <c r="D241" s="42"/>
      <c r="E241" s="38"/>
      <c r="F241" s="38"/>
      <c r="G241" s="38"/>
      <c r="H241" s="35">
        <f>H235+H236+H238</f>
        <v>375.47</v>
      </c>
      <c r="I241" s="43"/>
      <c r="J241" s="35">
        <f>J235+J236+J238</f>
        <v>609.09999999999991</v>
      </c>
      <c r="K241" s="43"/>
      <c r="L241" s="35"/>
    </row>
    <row r="242" spans="1:56" ht="14.25">
      <c r="A242" s="57"/>
      <c r="B242" s="57"/>
      <c r="C242" s="57" t="s">
        <v>798</v>
      </c>
      <c r="D242" s="42"/>
      <c r="E242" s="38"/>
      <c r="F242" s="38"/>
      <c r="G242" s="38"/>
      <c r="H242" s="35"/>
      <c r="I242" s="43"/>
      <c r="J242" s="35">
        <f>SUM(Q232:Q245)+SUM(V232:V245)+SUM(X232:X245)+SUM(Y232:Y245)</f>
        <v>364.09</v>
      </c>
      <c r="K242" s="43"/>
      <c r="L242" s="35">
        <f>SUM(U232:U245)+SUM(W232:W245)+SUM(Z232:Z245)+SUM(AA232:AA245)</f>
        <v>10533.119999999999</v>
      </c>
    </row>
    <row r="243" spans="1:56" ht="28.5">
      <c r="A243" s="57"/>
      <c r="B243" s="57" t="s">
        <v>162</v>
      </c>
      <c r="C243" s="57" t="s">
        <v>836</v>
      </c>
      <c r="D243" s="42" t="s">
        <v>800</v>
      </c>
      <c r="E243" s="38">
        <f>Source!BZ88</f>
        <v>97</v>
      </c>
      <c r="F243" s="38"/>
      <c r="G243" s="38">
        <f>Source!AT88</f>
        <v>97</v>
      </c>
      <c r="H243" s="35"/>
      <c r="I243" s="43"/>
      <c r="J243" s="35">
        <f>SUM(AG232:AG245)</f>
        <v>353.17</v>
      </c>
      <c r="K243" s="43"/>
      <c r="L243" s="35">
        <f>SUM(AH232:AH245)</f>
        <v>10217.129999999999</v>
      </c>
    </row>
    <row r="244" spans="1:56" ht="28.5">
      <c r="A244" s="59"/>
      <c r="B244" s="59" t="s">
        <v>163</v>
      </c>
      <c r="C244" s="59" t="s">
        <v>837</v>
      </c>
      <c r="D244" s="44" t="s">
        <v>800</v>
      </c>
      <c r="E244" s="45">
        <f>Source!CA88</f>
        <v>51</v>
      </c>
      <c r="F244" s="45"/>
      <c r="G244" s="45">
        <f>Source!AU88</f>
        <v>51</v>
      </c>
      <c r="H244" s="46"/>
      <c r="I244" s="47"/>
      <c r="J244" s="46">
        <f>SUM(AI232:AI245)</f>
        <v>185.69</v>
      </c>
      <c r="K244" s="47"/>
      <c r="L244" s="46">
        <f>SUM(AJ232:AJ245)</f>
        <v>5371.89</v>
      </c>
    </row>
    <row r="245" spans="1:56" ht="15">
      <c r="C245" s="108" t="s">
        <v>802</v>
      </c>
      <c r="D245" s="108"/>
      <c r="E245" s="108"/>
      <c r="F245" s="108"/>
      <c r="G245" s="108"/>
      <c r="H245" s="108"/>
      <c r="I245" s="108">
        <f>J235+J236+J238+J243+J244</f>
        <v>1147.96</v>
      </c>
      <c r="J245" s="108"/>
      <c r="O245" s="33">
        <f>I245</f>
        <v>1147.96</v>
      </c>
      <c r="P245">
        <f>K245</f>
        <v>0</v>
      </c>
      <c r="Q245" s="33">
        <f>J235</f>
        <v>359.71</v>
      </c>
      <c r="R245" s="33">
        <f>J235</f>
        <v>359.71</v>
      </c>
      <c r="U245" s="33">
        <f>L235</f>
        <v>10406.41</v>
      </c>
      <c r="X245" s="33">
        <f>J237</f>
        <v>4.38</v>
      </c>
      <c r="Z245" s="33">
        <f>L237</f>
        <v>126.71</v>
      </c>
      <c r="AB245" s="33">
        <f>J236</f>
        <v>202.38</v>
      </c>
      <c r="AD245" s="33">
        <f>L236</f>
        <v>0</v>
      </c>
      <c r="AF245" s="33">
        <f>J238</f>
        <v>47.01</v>
      </c>
      <c r="AN245">
        <f>IF(Source!BI88&lt;=1,J235+J236+J238+J243+J244, 0)</f>
        <v>0</v>
      </c>
      <c r="AO245">
        <f>IF(Source!BI88&lt;=1,J238, 0)</f>
        <v>0</v>
      </c>
      <c r="AP245">
        <f>IF(Source!BI88&lt;=1,J236, 0)</f>
        <v>0</v>
      </c>
      <c r="AQ245">
        <f>IF(Source!BI88&lt;=1,J235, 0)</f>
        <v>0</v>
      </c>
      <c r="AX245">
        <f>IF(Source!BI88=2,J235+J236+J238+J243+J244, 0)</f>
        <v>1147.96</v>
      </c>
      <c r="AY245">
        <f>IF(Source!BI88=2,J238, 0)</f>
        <v>47.01</v>
      </c>
      <c r="AZ245">
        <f>IF(Source!BI88=2,J236, 0)</f>
        <v>202.38</v>
      </c>
      <c r="BA245">
        <f>IF(Source!BI88=2,J235, 0)</f>
        <v>359.71</v>
      </c>
    </row>
    <row r="246" spans="1:56" ht="133.5">
      <c r="A246" s="57">
        <v>18</v>
      </c>
      <c r="B246" s="57" t="str">
        <f>Source!F89</f>
        <v>м08-02-147-13</v>
      </c>
      <c r="C246" s="57" t="s">
        <v>843</v>
      </c>
      <c r="D246" s="42" t="str">
        <f>Source!H89</f>
        <v>100 м кабеля</v>
      </c>
      <c r="E246" s="38">
        <f>Source!K89</f>
        <v>0.03</v>
      </c>
      <c r="F246" s="38"/>
      <c r="G246" s="38">
        <f>Source!I89</f>
        <v>0.03</v>
      </c>
      <c r="H246" s="35"/>
      <c r="I246" s="43"/>
      <c r="J246" s="35"/>
      <c r="K246" s="43"/>
      <c r="L246" s="35"/>
      <c r="AG246">
        <f>Source!X89</f>
        <v>11.01</v>
      </c>
      <c r="AH246">
        <f>Source!HK89</f>
        <v>318.5</v>
      </c>
      <c r="AI246">
        <f>Source!Y89</f>
        <v>5.79</v>
      </c>
      <c r="AJ246">
        <f>Source!HL89</f>
        <v>167.46</v>
      </c>
      <c r="AS246">
        <f>IF(Source!BI89&lt;=1,AH246, 0)</f>
        <v>0</v>
      </c>
      <c r="AT246">
        <f>IF(Source!BI89&lt;=1,AJ246, 0)</f>
        <v>0</v>
      </c>
      <c r="BC246">
        <f>IF(Source!BI89=2,AH246, 0)</f>
        <v>318.5</v>
      </c>
      <c r="BD246">
        <f>IF(Source!BI89=2,AJ246, 0)</f>
        <v>167.46</v>
      </c>
    </row>
    <row r="248" spans="1:56">
      <c r="C248" s="32" t="str">
        <f>"Объем: "&amp;Source!K89&amp;"=3/"&amp;"100"</f>
        <v>Объем: 0,03=3/100</v>
      </c>
    </row>
    <row r="249" spans="1:56" ht="14.25">
      <c r="A249" s="57"/>
      <c r="B249" s="58">
        <v>1</v>
      </c>
      <c r="C249" s="57" t="s">
        <v>794</v>
      </c>
      <c r="D249" s="42"/>
      <c r="E249" s="38"/>
      <c r="F249" s="38"/>
      <c r="G249" s="38"/>
      <c r="H249" s="35">
        <f>Source!AO89</f>
        <v>277.51</v>
      </c>
      <c r="I249" s="43">
        <f>ROUND(1.35,7)</f>
        <v>1.35</v>
      </c>
      <c r="J249" s="35">
        <f>ROUND(Source!AF89*Source!I89, 2)</f>
        <v>11.24</v>
      </c>
      <c r="K249" s="43">
        <f>IF(Source!BA89&lt;&gt; 0, Source!BA89, 1)</f>
        <v>28.93</v>
      </c>
      <c r="L249" s="35">
        <f>Source!HJ89</f>
        <v>325.17</v>
      </c>
    </row>
    <row r="250" spans="1:56" ht="14.25">
      <c r="A250" s="57"/>
      <c r="B250" s="58">
        <v>3</v>
      </c>
      <c r="C250" s="57" t="s">
        <v>805</v>
      </c>
      <c r="D250" s="42"/>
      <c r="E250" s="38"/>
      <c r="F250" s="38"/>
      <c r="G250" s="38"/>
      <c r="H250" s="35">
        <f>Source!AM89</f>
        <v>146.44</v>
      </c>
      <c r="I250" s="43">
        <f>ROUND(1.35,7)</f>
        <v>1.35</v>
      </c>
      <c r="J250" s="35">
        <f>ROUND(Source!AD89*Source!I89, 2)</f>
        <v>5.93</v>
      </c>
      <c r="K250" s="43"/>
      <c r="L250" s="35"/>
    </row>
    <row r="251" spans="1:56" ht="14.25">
      <c r="A251" s="57"/>
      <c r="B251" s="58">
        <v>2</v>
      </c>
      <c r="C251" s="57" t="s">
        <v>806</v>
      </c>
      <c r="D251" s="42"/>
      <c r="E251" s="38"/>
      <c r="F251" s="38"/>
      <c r="G251" s="38"/>
      <c r="H251" s="35">
        <f>Source!AN89</f>
        <v>2.62</v>
      </c>
      <c r="I251" s="43">
        <f>ROUND(1.35,7)</f>
        <v>1.35</v>
      </c>
      <c r="J251" s="48">
        <f>ROUND(Source!AE89*Source!I89, 2)</f>
        <v>0.11</v>
      </c>
      <c r="K251" s="43">
        <f>IF(Source!BS89&lt;&gt; 0, Source!BS89, 1)</f>
        <v>28.93</v>
      </c>
      <c r="L251" s="48">
        <f>Source!HI89</f>
        <v>3.18</v>
      </c>
    </row>
    <row r="252" spans="1:56" ht="14.25">
      <c r="A252" s="57"/>
      <c r="B252" s="58">
        <v>4</v>
      </c>
      <c r="C252" s="57" t="s">
        <v>813</v>
      </c>
      <c r="D252" s="42"/>
      <c r="E252" s="38"/>
      <c r="F252" s="38"/>
      <c r="G252" s="38"/>
      <c r="H252" s="35">
        <f>Source!AL89</f>
        <v>41.49</v>
      </c>
      <c r="I252" s="43"/>
      <c r="J252" s="35">
        <f>ROUND(Source!AC89*Source!I89, 2)</f>
        <v>1.24</v>
      </c>
      <c r="K252" s="43"/>
      <c r="L252" s="35"/>
    </row>
    <row r="253" spans="1:56" ht="14.25">
      <c r="A253" s="57"/>
      <c r="B253" s="57"/>
      <c r="C253" s="57" t="s">
        <v>795</v>
      </c>
      <c r="D253" s="42" t="s">
        <v>796</v>
      </c>
      <c r="E253" s="38">
        <f>Source!AQ89</f>
        <v>29.68</v>
      </c>
      <c r="F253" s="38">
        <f>ROUND(1.35,7)</f>
        <v>1.35</v>
      </c>
      <c r="G253" s="38">
        <f>ROUND(Source!U89, 7)</f>
        <v>1.20204</v>
      </c>
      <c r="H253" s="35"/>
      <c r="I253" s="43"/>
      <c r="J253" s="35"/>
      <c r="K253" s="43"/>
      <c r="L253" s="35"/>
    </row>
    <row r="254" spans="1:56" ht="14.25">
      <c r="A254" s="57"/>
      <c r="B254" s="57"/>
      <c r="C254" s="59" t="s">
        <v>807</v>
      </c>
      <c r="D254" s="44" t="s">
        <v>796</v>
      </c>
      <c r="E254" s="45">
        <f>Source!AR89</f>
        <v>0.4</v>
      </c>
      <c r="F254" s="45">
        <f>ROUND(1.35,7)</f>
        <v>1.35</v>
      </c>
      <c r="G254" s="45">
        <f>ROUND(Source!V89, 7)</f>
        <v>1.6199999999999999E-2</v>
      </c>
      <c r="H254" s="46"/>
      <c r="I254" s="47"/>
      <c r="J254" s="46"/>
      <c r="K254" s="47"/>
      <c r="L254" s="46"/>
    </row>
    <row r="255" spans="1:56" ht="14.25">
      <c r="A255" s="57"/>
      <c r="B255" s="57"/>
      <c r="C255" s="57" t="s">
        <v>797</v>
      </c>
      <c r="D255" s="42"/>
      <c r="E255" s="38"/>
      <c r="F255" s="38"/>
      <c r="G255" s="38"/>
      <c r="H255" s="35">
        <f>H249+H250+H252</f>
        <v>465.44</v>
      </c>
      <c r="I255" s="43"/>
      <c r="J255" s="35">
        <f>J249+J250+J252</f>
        <v>18.41</v>
      </c>
      <c r="K255" s="43"/>
      <c r="L255" s="35"/>
    </row>
    <row r="256" spans="1:56" ht="14.25">
      <c r="A256" s="57"/>
      <c r="B256" s="57"/>
      <c r="C256" s="57" t="s">
        <v>798</v>
      </c>
      <c r="D256" s="42"/>
      <c r="E256" s="38"/>
      <c r="F256" s="38"/>
      <c r="G256" s="38"/>
      <c r="H256" s="35"/>
      <c r="I256" s="43"/>
      <c r="J256" s="35">
        <f>SUM(Q246:Q259)+SUM(V246:V259)+SUM(X246:X259)+SUM(Y246:Y259)</f>
        <v>11.35</v>
      </c>
      <c r="K256" s="43"/>
      <c r="L256" s="35">
        <f>SUM(U246:U259)+SUM(W246:W259)+SUM(Z246:Z259)+SUM(AA246:AA259)</f>
        <v>328.35</v>
      </c>
    </row>
    <row r="257" spans="1:56" ht="28.5">
      <c r="A257" s="57"/>
      <c r="B257" s="57" t="s">
        <v>162</v>
      </c>
      <c r="C257" s="57" t="s">
        <v>836</v>
      </c>
      <c r="D257" s="42" t="s">
        <v>800</v>
      </c>
      <c r="E257" s="38">
        <f>Source!BZ89</f>
        <v>97</v>
      </c>
      <c r="F257" s="38"/>
      <c r="G257" s="38">
        <f>Source!AT89</f>
        <v>97</v>
      </c>
      <c r="H257" s="35"/>
      <c r="I257" s="43"/>
      <c r="J257" s="35">
        <f>SUM(AG246:AG259)</f>
        <v>11.01</v>
      </c>
      <c r="K257" s="43"/>
      <c r="L257" s="35">
        <f>SUM(AH246:AH259)</f>
        <v>318.5</v>
      </c>
    </row>
    <row r="258" spans="1:56" ht="28.5">
      <c r="A258" s="59"/>
      <c r="B258" s="59" t="s">
        <v>163</v>
      </c>
      <c r="C258" s="59" t="s">
        <v>837</v>
      </c>
      <c r="D258" s="44" t="s">
        <v>800</v>
      </c>
      <c r="E258" s="45">
        <f>Source!CA89</f>
        <v>51</v>
      </c>
      <c r="F258" s="45"/>
      <c r="G258" s="45">
        <f>Source!AU89</f>
        <v>51</v>
      </c>
      <c r="H258" s="46"/>
      <c r="I258" s="47"/>
      <c r="J258" s="46">
        <f>SUM(AI246:AI259)</f>
        <v>5.79</v>
      </c>
      <c r="K258" s="47"/>
      <c r="L258" s="46">
        <f>SUM(AJ246:AJ259)</f>
        <v>167.46</v>
      </c>
    </row>
    <row r="259" spans="1:56" ht="15">
      <c r="C259" s="108" t="s">
        <v>802</v>
      </c>
      <c r="D259" s="108"/>
      <c r="E259" s="108"/>
      <c r="F259" s="108"/>
      <c r="G259" s="108"/>
      <c r="H259" s="108"/>
      <c r="I259" s="108">
        <f>J249+J250+J252+J257+J258</f>
        <v>35.21</v>
      </c>
      <c r="J259" s="108"/>
      <c r="O259" s="33">
        <f>I259</f>
        <v>35.21</v>
      </c>
      <c r="P259">
        <f>K259</f>
        <v>0</v>
      </c>
      <c r="Q259" s="33">
        <f>J249</f>
        <v>11.24</v>
      </c>
      <c r="R259" s="33">
        <f>J249</f>
        <v>11.24</v>
      </c>
      <c r="U259" s="33">
        <f>L249</f>
        <v>325.17</v>
      </c>
      <c r="X259" s="33">
        <f>J251</f>
        <v>0.11</v>
      </c>
      <c r="Z259" s="33">
        <f>L251</f>
        <v>3.18</v>
      </c>
      <c r="AB259" s="33">
        <f>J250</f>
        <v>5.93</v>
      </c>
      <c r="AD259" s="33">
        <f>L250</f>
        <v>0</v>
      </c>
      <c r="AF259" s="33">
        <f>J252</f>
        <v>1.24</v>
      </c>
      <c r="AN259">
        <f>IF(Source!BI89&lt;=1,J249+J250+J252+J257+J258, 0)</f>
        <v>0</v>
      </c>
      <c r="AO259">
        <f>IF(Source!BI89&lt;=1,J252, 0)</f>
        <v>0</v>
      </c>
      <c r="AP259">
        <f>IF(Source!BI89&lt;=1,J250, 0)</f>
        <v>0</v>
      </c>
      <c r="AQ259">
        <f>IF(Source!BI89&lt;=1,J249, 0)</f>
        <v>0</v>
      </c>
      <c r="AX259">
        <f>IF(Source!BI89=2,J249+J250+J252+J257+J258, 0)</f>
        <v>35.21</v>
      </c>
      <c r="AY259">
        <f>IF(Source!BI89=2,J252, 0)</f>
        <v>1.24</v>
      </c>
      <c r="AZ259">
        <f>IF(Source!BI89=2,J250, 0)</f>
        <v>5.93</v>
      </c>
      <c r="BA259">
        <f>IF(Source!BI89=2,J249, 0)</f>
        <v>11.24</v>
      </c>
    </row>
    <row r="260" spans="1:56" ht="119.25">
      <c r="A260" s="57">
        <v>19</v>
      </c>
      <c r="B260" s="57" t="str">
        <f>Source!F90</f>
        <v>м08-02-145-4</v>
      </c>
      <c r="C260" s="57" t="s">
        <v>844</v>
      </c>
      <c r="D260" s="42" t="str">
        <f>Source!H90</f>
        <v>100 м кабеля</v>
      </c>
      <c r="E260" s="38">
        <f>Source!K90</f>
        <v>0.06</v>
      </c>
      <c r="F260" s="38"/>
      <c r="G260" s="38">
        <f>Source!I90</f>
        <v>0.06</v>
      </c>
      <c r="H260" s="35"/>
      <c r="I260" s="43"/>
      <c r="J260" s="35"/>
      <c r="K260" s="43"/>
      <c r="L260" s="35"/>
      <c r="AG260">
        <f>Source!X90</f>
        <v>7.73</v>
      </c>
      <c r="AH260">
        <f>Source!HK90</f>
        <v>223.66</v>
      </c>
      <c r="AI260">
        <f>Source!Y90</f>
        <v>4.0599999999999996</v>
      </c>
      <c r="AJ260">
        <f>Source!HL90</f>
        <v>117.6</v>
      </c>
      <c r="AS260">
        <f>IF(Source!BI90&lt;=1,AH260, 0)</f>
        <v>0</v>
      </c>
      <c r="AT260">
        <f>IF(Source!BI90&lt;=1,AJ260, 0)</f>
        <v>0</v>
      </c>
      <c r="BC260">
        <f>IF(Source!BI90=2,AH260, 0)</f>
        <v>223.66</v>
      </c>
      <c r="BD260">
        <f>IF(Source!BI90=2,AJ260, 0)</f>
        <v>117.6</v>
      </c>
    </row>
    <row r="262" spans="1:56">
      <c r="C262" s="32" t="str">
        <f>"Объем: "&amp;Source!K90&amp;"=6/"&amp;"100"</f>
        <v>Объем: 0,06=6/100</v>
      </c>
    </row>
    <row r="263" spans="1:56" ht="14.25">
      <c r="A263" s="57"/>
      <c r="B263" s="58">
        <v>1</v>
      </c>
      <c r="C263" s="57" t="s">
        <v>794</v>
      </c>
      <c r="D263" s="42"/>
      <c r="E263" s="38"/>
      <c r="F263" s="38"/>
      <c r="G263" s="38"/>
      <c r="H263" s="35">
        <f>Source!AO90</f>
        <v>95.74</v>
      </c>
      <c r="I263" s="43">
        <f>ROUND(1.35,7)</f>
        <v>1.35</v>
      </c>
      <c r="J263" s="35">
        <f>ROUND(Source!AF90*Source!I90, 2)</f>
        <v>7.76</v>
      </c>
      <c r="K263" s="43">
        <f>IF(Source!BA90&lt;&gt; 0, Source!BA90, 1)</f>
        <v>28.93</v>
      </c>
      <c r="L263" s="35">
        <f>Source!HJ90</f>
        <v>224.5</v>
      </c>
    </row>
    <row r="264" spans="1:56" ht="14.25">
      <c r="A264" s="57"/>
      <c r="B264" s="58">
        <v>3</v>
      </c>
      <c r="C264" s="57" t="s">
        <v>805</v>
      </c>
      <c r="D264" s="42"/>
      <c r="E264" s="38"/>
      <c r="F264" s="38"/>
      <c r="G264" s="38"/>
      <c r="H264" s="35">
        <f>Source!AM90</f>
        <v>79.47</v>
      </c>
      <c r="I264" s="43">
        <f>ROUND(1.35,7)</f>
        <v>1.35</v>
      </c>
      <c r="J264" s="35">
        <f>ROUND(Source!AD90*Source!I90, 2)</f>
        <v>6.44</v>
      </c>
      <c r="K264" s="43"/>
      <c r="L264" s="35"/>
    </row>
    <row r="265" spans="1:56" ht="14.25">
      <c r="A265" s="57"/>
      <c r="B265" s="58">
        <v>2</v>
      </c>
      <c r="C265" s="57" t="s">
        <v>806</v>
      </c>
      <c r="D265" s="42"/>
      <c r="E265" s="38"/>
      <c r="F265" s="38"/>
      <c r="G265" s="38"/>
      <c r="H265" s="35">
        <f>Source!AN90</f>
        <v>2.62</v>
      </c>
      <c r="I265" s="43">
        <f>ROUND(1.35,7)</f>
        <v>1.35</v>
      </c>
      <c r="J265" s="48">
        <f>ROUND(Source!AE90*Source!I90, 2)</f>
        <v>0.21</v>
      </c>
      <c r="K265" s="43">
        <f>IF(Source!BS90&lt;&gt; 0, Source!BS90, 1)</f>
        <v>28.93</v>
      </c>
      <c r="L265" s="48">
        <f>Source!HI90</f>
        <v>6.08</v>
      </c>
    </row>
    <row r="266" spans="1:56" ht="14.25">
      <c r="A266" s="57"/>
      <c r="B266" s="58">
        <v>4</v>
      </c>
      <c r="C266" s="57" t="s">
        <v>813</v>
      </c>
      <c r="D266" s="42"/>
      <c r="E266" s="38"/>
      <c r="F266" s="38"/>
      <c r="G266" s="38"/>
      <c r="H266" s="35">
        <f>Source!AL90</f>
        <v>46.42</v>
      </c>
      <c r="I266" s="43"/>
      <c r="J266" s="35">
        <f>ROUND(Source!AC90*Source!I90, 2)</f>
        <v>2.79</v>
      </c>
      <c r="K266" s="43"/>
      <c r="L266" s="35"/>
    </row>
    <row r="267" spans="1:56" ht="14.25">
      <c r="A267" s="57"/>
      <c r="B267" s="57"/>
      <c r="C267" s="57" t="s">
        <v>795</v>
      </c>
      <c r="D267" s="42" t="s">
        <v>796</v>
      </c>
      <c r="E267" s="38">
        <f>Source!AQ90</f>
        <v>10.24</v>
      </c>
      <c r="F267" s="38">
        <f>ROUND(1.35,7)</f>
        <v>1.35</v>
      </c>
      <c r="G267" s="38">
        <f>ROUND(Source!U90, 7)</f>
        <v>0.82943999999999996</v>
      </c>
      <c r="H267" s="35"/>
      <c r="I267" s="43"/>
      <c r="J267" s="35"/>
      <c r="K267" s="43"/>
      <c r="L267" s="35"/>
    </row>
    <row r="268" spans="1:56" ht="14.25">
      <c r="A268" s="57"/>
      <c r="B268" s="57"/>
      <c r="C268" s="59" t="s">
        <v>807</v>
      </c>
      <c r="D268" s="44" t="s">
        <v>796</v>
      </c>
      <c r="E268" s="45">
        <f>Source!AR90</f>
        <v>0.4</v>
      </c>
      <c r="F268" s="45">
        <f>ROUND(1.35,7)</f>
        <v>1.35</v>
      </c>
      <c r="G268" s="45">
        <f>ROUND(Source!V90, 7)</f>
        <v>3.2399999999999998E-2</v>
      </c>
      <c r="H268" s="46"/>
      <c r="I268" s="47"/>
      <c r="J268" s="46"/>
      <c r="K268" s="47"/>
      <c r="L268" s="46"/>
    </row>
    <row r="269" spans="1:56" ht="14.25">
      <c r="A269" s="57"/>
      <c r="B269" s="57"/>
      <c r="C269" s="57" t="s">
        <v>797</v>
      </c>
      <c r="D269" s="42"/>
      <c r="E269" s="38"/>
      <c r="F269" s="38"/>
      <c r="G269" s="38"/>
      <c r="H269" s="35">
        <f>H263+H264+H266</f>
        <v>221.63</v>
      </c>
      <c r="I269" s="43"/>
      <c r="J269" s="35">
        <f>J263+J264+J266</f>
        <v>16.989999999999998</v>
      </c>
      <c r="K269" s="43"/>
      <c r="L269" s="35"/>
    </row>
    <row r="270" spans="1:56" ht="14.25">
      <c r="A270" s="57"/>
      <c r="B270" s="57"/>
      <c r="C270" s="57" t="s">
        <v>798</v>
      </c>
      <c r="D270" s="42"/>
      <c r="E270" s="38"/>
      <c r="F270" s="38"/>
      <c r="G270" s="38"/>
      <c r="H270" s="35"/>
      <c r="I270" s="43"/>
      <c r="J270" s="35">
        <f>SUM(Q260:Q273)+SUM(V260:V273)+SUM(X260:X273)+SUM(Y260:Y273)</f>
        <v>7.97</v>
      </c>
      <c r="K270" s="43"/>
      <c r="L270" s="35">
        <f>SUM(U260:U273)+SUM(W260:W273)+SUM(Z260:Z273)+SUM(AA260:AA273)</f>
        <v>230.58</v>
      </c>
    </row>
    <row r="271" spans="1:56" ht="28.5">
      <c r="A271" s="57"/>
      <c r="B271" s="57" t="s">
        <v>162</v>
      </c>
      <c r="C271" s="57" t="s">
        <v>836</v>
      </c>
      <c r="D271" s="42" t="s">
        <v>800</v>
      </c>
      <c r="E271" s="38">
        <f>Source!BZ90</f>
        <v>97</v>
      </c>
      <c r="F271" s="38"/>
      <c r="G271" s="38">
        <f>Source!AT90</f>
        <v>97</v>
      </c>
      <c r="H271" s="35"/>
      <c r="I271" s="43"/>
      <c r="J271" s="35">
        <f>SUM(AG260:AG273)</f>
        <v>7.73</v>
      </c>
      <c r="K271" s="43"/>
      <c r="L271" s="35">
        <f>SUM(AH260:AH273)</f>
        <v>223.66</v>
      </c>
    </row>
    <row r="272" spans="1:56" ht="28.5">
      <c r="A272" s="59"/>
      <c r="B272" s="59" t="s">
        <v>163</v>
      </c>
      <c r="C272" s="59" t="s">
        <v>837</v>
      </c>
      <c r="D272" s="44" t="s">
        <v>800</v>
      </c>
      <c r="E272" s="45">
        <f>Source!CA90</f>
        <v>51</v>
      </c>
      <c r="F272" s="45"/>
      <c r="G272" s="45">
        <f>Source!AU90</f>
        <v>51</v>
      </c>
      <c r="H272" s="46"/>
      <c r="I272" s="47"/>
      <c r="J272" s="46">
        <f>SUM(AI260:AI273)</f>
        <v>4.0599999999999996</v>
      </c>
      <c r="K272" s="47"/>
      <c r="L272" s="46">
        <f>SUM(AJ260:AJ273)</f>
        <v>117.6</v>
      </c>
    </row>
    <row r="273" spans="1:56" ht="15">
      <c r="C273" s="108" t="s">
        <v>802</v>
      </c>
      <c r="D273" s="108"/>
      <c r="E273" s="108"/>
      <c r="F273" s="108"/>
      <c r="G273" s="108"/>
      <c r="H273" s="108"/>
      <c r="I273" s="108">
        <f>J263+J264+J266+J271+J272</f>
        <v>28.779999999999998</v>
      </c>
      <c r="J273" s="108"/>
      <c r="O273" s="33">
        <f>I273</f>
        <v>28.779999999999998</v>
      </c>
      <c r="P273">
        <f>K273</f>
        <v>0</v>
      </c>
      <c r="Q273" s="33">
        <f>J263</f>
        <v>7.76</v>
      </c>
      <c r="R273" s="33">
        <f>J263</f>
        <v>7.76</v>
      </c>
      <c r="U273" s="33">
        <f>L263</f>
        <v>224.5</v>
      </c>
      <c r="X273" s="33">
        <f>J265</f>
        <v>0.21</v>
      </c>
      <c r="Z273" s="33">
        <f>L265</f>
        <v>6.08</v>
      </c>
      <c r="AB273" s="33">
        <f>J264</f>
        <v>6.44</v>
      </c>
      <c r="AD273" s="33">
        <f>L264</f>
        <v>0</v>
      </c>
      <c r="AF273" s="33">
        <f>J266</f>
        <v>2.79</v>
      </c>
      <c r="AN273">
        <f>IF(Source!BI90&lt;=1,J263+J264+J266+J271+J272, 0)</f>
        <v>0</v>
      </c>
      <c r="AO273">
        <f>IF(Source!BI90&lt;=1,J266, 0)</f>
        <v>0</v>
      </c>
      <c r="AP273">
        <f>IF(Source!BI90&lt;=1,J264, 0)</f>
        <v>0</v>
      </c>
      <c r="AQ273">
        <f>IF(Source!BI90&lt;=1,J263, 0)</f>
        <v>0</v>
      </c>
      <c r="AX273">
        <f>IF(Source!BI90=2,J263+J264+J266+J271+J272, 0)</f>
        <v>28.779999999999998</v>
      </c>
      <c r="AY273">
        <f>IF(Source!BI90=2,J266, 0)</f>
        <v>2.79</v>
      </c>
      <c r="AZ273">
        <f>IF(Source!BI90=2,J264, 0)</f>
        <v>6.44</v>
      </c>
      <c r="BA273">
        <f>IF(Source!BI90=2,J263, 0)</f>
        <v>7.76</v>
      </c>
    </row>
    <row r="274" spans="1:56" ht="105">
      <c r="A274" s="57">
        <v>20</v>
      </c>
      <c r="B274" s="57" t="str">
        <f>Source!F91</f>
        <v>м08-02-157-1</v>
      </c>
      <c r="C274" s="57" t="s">
        <v>845</v>
      </c>
      <c r="D274" s="42" t="str">
        <f>Source!H91</f>
        <v>100 м кабеля</v>
      </c>
      <c r="E274" s="38">
        <f>Source!K91</f>
        <v>0.06</v>
      </c>
      <c r="F274" s="38"/>
      <c r="G274" s="38">
        <f>Source!I91</f>
        <v>0.06</v>
      </c>
      <c r="H274" s="35"/>
      <c r="I274" s="43"/>
      <c r="J274" s="35"/>
      <c r="K274" s="43"/>
      <c r="L274" s="35"/>
      <c r="AG274">
        <f>Source!X91</f>
        <v>0.92</v>
      </c>
      <c r="AH274">
        <f>Source!HK91</f>
        <v>26.66</v>
      </c>
      <c r="AI274">
        <f>Source!Y91</f>
        <v>0.48</v>
      </c>
      <c r="AJ274">
        <f>Source!HL91</f>
        <v>14.01</v>
      </c>
      <c r="AS274">
        <f>IF(Source!BI91&lt;=1,AH274, 0)</f>
        <v>0</v>
      </c>
      <c r="AT274">
        <f>IF(Source!BI91&lt;=1,AJ274, 0)</f>
        <v>0</v>
      </c>
      <c r="BC274">
        <f>IF(Source!BI91=2,AH274, 0)</f>
        <v>26.66</v>
      </c>
      <c r="BD274">
        <f>IF(Source!BI91=2,AJ274, 0)</f>
        <v>14.01</v>
      </c>
    </row>
    <row r="276" spans="1:56">
      <c r="C276" s="32" t="str">
        <f>"Объем: "&amp;Source!K91&amp;"=6/"&amp;"100"</f>
        <v>Объем: 0,06=6/100</v>
      </c>
    </row>
    <row r="277" spans="1:56" ht="14.25">
      <c r="A277" s="57"/>
      <c r="B277" s="58">
        <v>1</v>
      </c>
      <c r="C277" s="57" t="s">
        <v>794</v>
      </c>
      <c r="D277" s="42"/>
      <c r="E277" s="38"/>
      <c r="F277" s="38"/>
      <c r="G277" s="38"/>
      <c r="H277" s="35">
        <f>Source!AO91</f>
        <v>11.78</v>
      </c>
      <c r="I277" s="43">
        <f>ROUND(1.35,7)</f>
        <v>1.35</v>
      </c>
      <c r="J277" s="35">
        <f>ROUND(Source!AF91*Source!I91, 2)</f>
        <v>0.95</v>
      </c>
      <c r="K277" s="43">
        <f>IF(Source!BA91&lt;&gt; 0, Source!BA91, 1)</f>
        <v>28.93</v>
      </c>
      <c r="L277" s="35">
        <f>Source!HJ91</f>
        <v>27.48</v>
      </c>
    </row>
    <row r="278" spans="1:56" ht="14.25">
      <c r="A278" s="57"/>
      <c r="B278" s="58">
        <v>4</v>
      </c>
      <c r="C278" s="57" t="s">
        <v>813</v>
      </c>
      <c r="D278" s="42"/>
      <c r="E278" s="38"/>
      <c r="F278" s="38"/>
      <c r="G278" s="38"/>
      <c r="H278" s="35">
        <f>Source!AL91</f>
        <v>0.24</v>
      </c>
      <c r="I278" s="43"/>
      <c r="J278" s="35">
        <f>ROUND(Source!AC91*Source!I91, 2)</f>
        <v>0.01</v>
      </c>
      <c r="K278" s="43"/>
      <c r="L278" s="35"/>
    </row>
    <row r="279" spans="1:56" ht="14.25">
      <c r="A279" s="57"/>
      <c r="B279" s="57"/>
      <c r="C279" s="59" t="s">
        <v>795</v>
      </c>
      <c r="D279" s="44" t="s">
        <v>796</v>
      </c>
      <c r="E279" s="45">
        <f>Source!AQ91</f>
        <v>1.26</v>
      </c>
      <c r="F279" s="45">
        <f>ROUND(1.35,7)</f>
        <v>1.35</v>
      </c>
      <c r="G279" s="45">
        <f>ROUND(Source!U91, 7)</f>
        <v>0.10206</v>
      </c>
      <c r="H279" s="46"/>
      <c r="I279" s="47"/>
      <c r="J279" s="46"/>
      <c r="K279" s="47"/>
      <c r="L279" s="46"/>
    </row>
    <row r="280" spans="1:56" ht="14.25">
      <c r="A280" s="57"/>
      <c r="B280" s="57"/>
      <c r="C280" s="57" t="s">
        <v>797</v>
      </c>
      <c r="D280" s="42"/>
      <c r="E280" s="38"/>
      <c r="F280" s="38"/>
      <c r="G280" s="38"/>
      <c r="H280" s="35">
        <f>H277+H278</f>
        <v>12.02</v>
      </c>
      <c r="I280" s="43"/>
      <c r="J280" s="35">
        <f>J277+J278</f>
        <v>0.96</v>
      </c>
      <c r="K280" s="43"/>
      <c r="L280" s="35"/>
    </row>
    <row r="281" spans="1:56" ht="14.25">
      <c r="A281" s="57"/>
      <c r="B281" s="57"/>
      <c r="C281" s="57" t="s">
        <v>798</v>
      </c>
      <c r="D281" s="42"/>
      <c r="E281" s="38"/>
      <c r="F281" s="38"/>
      <c r="G281" s="38"/>
      <c r="H281" s="35"/>
      <c r="I281" s="43"/>
      <c r="J281" s="35">
        <f>SUM(Q274:Q284)+SUM(V274:V284)+SUM(X274:X284)+SUM(Y274:Y284)</f>
        <v>0.95</v>
      </c>
      <c r="K281" s="43"/>
      <c r="L281" s="35">
        <f>SUM(U274:U284)+SUM(W274:W284)+SUM(Z274:Z284)+SUM(AA274:AA284)</f>
        <v>27.48</v>
      </c>
    </row>
    <row r="282" spans="1:56" ht="28.5">
      <c r="A282" s="57"/>
      <c r="B282" s="57" t="s">
        <v>162</v>
      </c>
      <c r="C282" s="57" t="s">
        <v>836</v>
      </c>
      <c r="D282" s="42" t="s">
        <v>800</v>
      </c>
      <c r="E282" s="38">
        <f>Source!BZ91</f>
        <v>97</v>
      </c>
      <c r="F282" s="38"/>
      <c r="G282" s="38">
        <f>Source!AT91</f>
        <v>97</v>
      </c>
      <c r="H282" s="35"/>
      <c r="I282" s="43"/>
      <c r="J282" s="35">
        <f>SUM(AG274:AG284)</f>
        <v>0.92</v>
      </c>
      <c r="K282" s="43"/>
      <c r="L282" s="35">
        <f>SUM(AH274:AH284)</f>
        <v>26.66</v>
      </c>
    </row>
    <row r="283" spans="1:56" ht="28.5">
      <c r="A283" s="59"/>
      <c r="B283" s="59" t="s">
        <v>163</v>
      </c>
      <c r="C283" s="59" t="s">
        <v>837</v>
      </c>
      <c r="D283" s="44" t="s">
        <v>800</v>
      </c>
      <c r="E283" s="45">
        <f>Source!CA91</f>
        <v>51</v>
      </c>
      <c r="F283" s="45"/>
      <c r="G283" s="45">
        <f>Source!AU91</f>
        <v>51</v>
      </c>
      <c r="H283" s="46"/>
      <c r="I283" s="47"/>
      <c r="J283" s="46">
        <f>SUM(AI274:AI284)</f>
        <v>0.48</v>
      </c>
      <c r="K283" s="47"/>
      <c r="L283" s="46">
        <f>SUM(AJ274:AJ284)</f>
        <v>14.01</v>
      </c>
    </row>
    <row r="284" spans="1:56" ht="15">
      <c r="C284" s="108" t="s">
        <v>802</v>
      </c>
      <c r="D284" s="108"/>
      <c r="E284" s="108"/>
      <c r="F284" s="108"/>
      <c r="G284" s="108"/>
      <c r="H284" s="108"/>
      <c r="I284" s="108">
        <f>J277+J278+J282+J283</f>
        <v>2.36</v>
      </c>
      <c r="J284" s="108"/>
      <c r="O284" s="33">
        <f>I284</f>
        <v>2.36</v>
      </c>
      <c r="P284">
        <f>K284</f>
        <v>0</v>
      </c>
      <c r="Q284" s="33">
        <f>J277</f>
        <v>0.95</v>
      </c>
      <c r="R284" s="33">
        <f>J277</f>
        <v>0.95</v>
      </c>
      <c r="U284" s="33">
        <f>L277</f>
        <v>27.48</v>
      </c>
      <c r="X284">
        <f>0</f>
        <v>0</v>
      </c>
      <c r="Z284">
        <f>0</f>
        <v>0</v>
      </c>
      <c r="AB284">
        <f>0</f>
        <v>0</v>
      </c>
      <c r="AD284">
        <f>0</f>
        <v>0</v>
      </c>
      <c r="AF284" s="33">
        <f>J278</f>
        <v>0.01</v>
      </c>
      <c r="AN284">
        <f>IF(Source!BI91&lt;=1,J277+J278+J282+J283, 0)</f>
        <v>0</v>
      </c>
      <c r="AO284">
        <f>IF(Source!BI91&lt;=1,J278, 0)</f>
        <v>0</v>
      </c>
      <c r="AP284">
        <f>IF(Source!BI91&lt;=1,0, 0)</f>
        <v>0</v>
      </c>
      <c r="AQ284">
        <f>IF(Source!BI91&lt;=1,J277, 0)</f>
        <v>0</v>
      </c>
      <c r="AX284">
        <f>IF(Source!BI91=2,J277+J278+J282+J283, 0)</f>
        <v>2.36</v>
      </c>
      <c r="AY284">
        <f>IF(Source!BI91=2,J278, 0)</f>
        <v>0.01</v>
      </c>
      <c r="AZ284">
        <f>IF(Source!BI91=2,0, 0)</f>
        <v>0</v>
      </c>
      <c r="BA284">
        <f>IF(Source!BI91=2,J277, 0)</f>
        <v>0.95</v>
      </c>
    </row>
    <row r="285" spans="1:56" ht="119.25">
      <c r="A285" s="57">
        <v>21</v>
      </c>
      <c r="B285" s="57" t="str">
        <f>Source!F92</f>
        <v>м08-02-165-3</v>
      </c>
      <c r="C285" s="57" t="s">
        <v>846</v>
      </c>
      <c r="D285" s="42" t="str">
        <f>Source!H92</f>
        <v>1  ШТ.</v>
      </c>
      <c r="E285" s="38">
        <f>Source!K92</f>
        <v>2</v>
      </c>
      <c r="F285" s="38"/>
      <c r="G285" s="38">
        <f>Source!I92</f>
        <v>2</v>
      </c>
      <c r="H285" s="35"/>
      <c r="I285" s="43"/>
      <c r="J285" s="35"/>
      <c r="K285" s="43"/>
      <c r="L285" s="35"/>
      <c r="AG285">
        <f>Source!X92</f>
        <v>278.95</v>
      </c>
      <c r="AH285">
        <f>Source!HK92</f>
        <v>8070.1</v>
      </c>
      <c r="AI285">
        <f>Source!Y92</f>
        <v>146.66999999999999</v>
      </c>
      <c r="AJ285">
        <f>Source!HL92</f>
        <v>4243.04</v>
      </c>
      <c r="AS285">
        <f>IF(Source!BI92&lt;=1,AH285, 0)</f>
        <v>0</v>
      </c>
      <c r="AT285">
        <f>IF(Source!BI92&lt;=1,AJ285, 0)</f>
        <v>0</v>
      </c>
      <c r="BC285">
        <f>IF(Source!BI92=2,AH285, 0)</f>
        <v>8070.1</v>
      </c>
      <c r="BD285">
        <f>IF(Source!BI92=2,AJ285, 0)</f>
        <v>4243.04</v>
      </c>
    </row>
    <row r="287" spans="1:56" ht="14.25">
      <c r="A287" s="57"/>
      <c r="B287" s="58">
        <v>1</v>
      </c>
      <c r="C287" s="57" t="s">
        <v>794</v>
      </c>
      <c r="D287" s="42"/>
      <c r="E287" s="38"/>
      <c r="F287" s="38"/>
      <c r="G287" s="38"/>
      <c r="H287" s="35">
        <f>Source!AO92</f>
        <v>50.49</v>
      </c>
      <c r="I287" s="43">
        <f>ROUND(1.35,7)</f>
        <v>1.35</v>
      </c>
      <c r="J287" s="35">
        <f>ROUND(Source!AF92*Source!I92, 2)</f>
        <v>136.32</v>
      </c>
      <c r="K287" s="43">
        <f>IF(Source!BA92&lt;&gt; 0, Source!BA92, 1)</f>
        <v>28.93</v>
      </c>
      <c r="L287" s="35">
        <f>Source!HJ92</f>
        <v>3943.74</v>
      </c>
    </row>
    <row r="288" spans="1:56" ht="14.25">
      <c r="A288" s="57"/>
      <c r="B288" s="58">
        <v>3</v>
      </c>
      <c r="C288" s="57" t="s">
        <v>805</v>
      </c>
      <c r="D288" s="42"/>
      <c r="E288" s="38"/>
      <c r="F288" s="38"/>
      <c r="G288" s="38"/>
      <c r="H288" s="35">
        <f>Source!AM92</f>
        <v>748.15</v>
      </c>
      <c r="I288" s="43">
        <f>ROUND(1.35,7)</f>
        <v>1.35</v>
      </c>
      <c r="J288" s="35">
        <f>ROUND(Source!AD92*Source!I92, 2)</f>
        <v>2020.02</v>
      </c>
      <c r="K288" s="43"/>
      <c r="L288" s="35"/>
    </row>
    <row r="289" spans="1:56" ht="14.25">
      <c r="A289" s="57"/>
      <c r="B289" s="58">
        <v>2</v>
      </c>
      <c r="C289" s="57" t="s">
        <v>806</v>
      </c>
      <c r="D289" s="42"/>
      <c r="E289" s="38"/>
      <c r="F289" s="38"/>
      <c r="G289" s="38"/>
      <c r="H289" s="35">
        <f>Source!AN92</f>
        <v>56.02</v>
      </c>
      <c r="I289" s="43">
        <f>ROUND(1.35,7)</f>
        <v>1.35</v>
      </c>
      <c r="J289" s="48">
        <f>ROUND(Source!AE92*Source!I92, 2)</f>
        <v>151.26</v>
      </c>
      <c r="K289" s="43">
        <f>IF(Source!BS92&lt;&gt; 0, Source!BS92, 1)</f>
        <v>28.93</v>
      </c>
      <c r="L289" s="48">
        <f>Source!HI92</f>
        <v>4375.95</v>
      </c>
    </row>
    <row r="290" spans="1:56" ht="14.25">
      <c r="A290" s="57"/>
      <c r="B290" s="58">
        <v>4</v>
      </c>
      <c r="C290" s="57" t="s">
        <v>813</v>
      </c>
      <c r="D290" s="42"/>
      <c r="E290" s="38"/>
      <c r="F290" s="38"/>
      <c r="G290" s="38"/>
      <c r="H290" s="35">
        <f>Source!AL92</f>
        <v>3.77</v>
      </c>
      <c r="I290" s="43"/>
      <c r="J290" s="35">
        <f>ROUND(Source!AC92*Source!I92, 2)</f>
        <v>7.54</v>
      </c>
      <c r="K290" s="43"/>
      <c r="L290" s="35"/>
    </row>
    <row r="291" spans="1:56" ht="14.25">
      <c r="A291" s="57"/>
      <c r="B291" s="57"/>
      <c r="C291" s="57" t="s">
        <v>795</v>
      </c>
      <c r="D291" s="42" t="s">
        <v>796</v>
      </c>
      <c r="E291" s="38">
        <f>Source!AQ92</f>
        <v>5.4</v>
      </c>
      <c r="F291" s="38">
        <f>ROUND(1.35,7)</f>
        <v>1.35</v>
      </c>
      <c r="G291" s="38">
        <f>ROUND(Source!U92, 7)</f>
        <v>14.58</v>
      </c>
      <c r="H291" s="35"/>
      <c r="I291" s="43"/>
      <c r="J291" s="35"/>
      <c r="K291" s="43"/>
      <c r="L291" s="35"/>
    </row>
    <row r="292" spans="1:56" ht="14.25">
      <c r="A292" s="57"/>
      <c r="B292" s="57"/>
      <c r="C292" s="59" t="s">
        <v>807</v>
      </c>
      <c r="D292" s="44" t="s">
        <v>796</v>
      </c>
      <c r="E292" s="45">
        <f>Source!AR92</f>
        <v>4.2699999999999996</v>
      </c>
      <c r="F292" s="45">
        <f>ROUND(1.35,7)</f>
        <v>1.35</v>
      </c>
      <c r="G292" s="45">
        <f>ROUND(Source!V92, 7)</f>
        <v>11.529</v>
      </c>
      <c r="H292" s="46"/>
      <c r="I292" s="47"/>
      <c r="J292" s="46"/>
      <c r="K292" s="47"/>
      <c r="L292" s="46"/>
    </row>
    <row r="293" spans="1:56" ht="14.25">
      <c r="A293" s="57"/>
      <c r="B293" s="57"/>
      <c r="C293" s="57" t="s">
        <v>797</v>
      </c>
      <c r="D293" s="42"/>
      <c r="E293" s="38"/>
      <c r="F293" s="38"/>
      <c r="G293" s="38"/>
      <c r="H293" s="35">
        <f>H287+H288+H290</f>
        <v>802.41</v>
      </c>
      <c r="I293" s="43"/>
      <c r="J293" s="35">
        <f>J287+J288+J290</f>
        <v>2163.88</v>
      </c>
      <c r="K293" s="43"/>
      <c r="L293" s="35"/>
    </row>
    <row r="294" spans="1:56" ht="14.25">
      <c r="A294" s="57"/>
      <c r="B294" s="57"/>
      <c r="C294" s="57" t="s">
        <v>798</v>
      </c>
      <c r="D294" s="42"/>
      <c r="E294" s="38"/>
      <c r="F294" s="38"/>
      <c r="G294" s="38"/>
      <c r="H294" s="35"/>
      <c r="I294" s="43"/>
      <c r="J294" s="35">
        <f>SUM(Q285:Q297)+SUM(V285:V297)+SUM(X285:X297)+SUM(Y285:Y297)</f>
        <v>287.58</v>
      </c>
      <c r="K294" s="43"/>
      <c r="L294" s="35">
        <f>SUM(U285:U297)+SUM(W285:W297)+SUM(Z285:Z297)+SUM(AA285:AA297)</f>
        <v>8319.6899999999987</v>
      </c>
    </row>
    <row r="295" spans="1:56" ht="28.5">
      <c r="A295" s="57"/>
      <c r="B295" s="57" t="s">
        <v>162</v>
      </c>
      <c r="C295" s="57" t="s">
        <v>836</v>
      </c>
      <c r="D295" s="42" t="s">
        <v>800</v>
      </c>
      <c r="E295" s="38">
        <f>Source!BZ92</f>
        <v>97</v>
      </c>
      <c r="F295" s="38"/>
      <c r="G295" s="38">
        <f>Source!AT92</f>
        <v>97</v>
      </c>
      <c r="H295" s="35"/>
      <c r="I295" s="43"/>
      <c r="J295" s="35">
        <f>SUM(AG285:AG297)</f>
        <v>278.95</v>
      </c>
      <c r="K295" s="43"/>
      <c r="L295" s="35">
        <f>SUM(AH285:AH297)</f>
        <v>8070.1</v>
      </c>
    </row>
    <row r="296" spans="1:56" ht="28.5">
      <c r="A296" s="59"/>
      <c r="B296" s="59" t="s">
        <v>163</v>
      </c>
      <c r="C296" s="59" t="s">
        <v>837</v>
      </c>
      <c r="D296" s="44" t="s">
        <v>800</v>
      </c>
      <c r="E296" s="45">
        <f>Source!CA92</f>
        <v>51</v>
      </c>
      <c r="F296" s="45"/>
      <c r="G296" s="45">
        <f>Source!AU92</f>
        <v>51</v>
      </c>
      <c r="H296" s="46"/>
      <c r="I296" s="47"/>
      <c r="J296" s="46">
        <f>SUM(AI285:AI297)</f>
        <v>146.66999999999999</v>
      </c>
      <c r="K296" s="47"/>
      <c r="L296" s="46">
        <f>SUM(AJ285:AJ297)</f>
        <v>4243.04</v>
      </c>
    </row>
    <row r="297" spans="1:56" ht="15">
      <c r="C297" s="108" t="s">
        <v>802</v>
      </c>
      <c r="D297" s="108"/>
      <c r="E297" s="108"/>
      <c r="F297" s="108"/>
      <c r="G297" s="108"/>
      <c r="H297" s="108"/>
      <c r="I297" s="108">
        <f>J287+J288+J290+J295+J296</f>
        <v>2589.5</v>
      </c>
      <c r="J297" s="108"/>
      <c r="O297" s="33">
        <f>I297</f>
        <v>2589.5</v>
      </c>
      <c r="P297">
        <f>K297</f>
        <v>0</v>
      </c>
      <c r="Q297" s="33">
        <f>J287</f>
        <v>136.32</v>
      </c>
      <c r="R297" s="33">
        <f>J287</f>
        <v>136.32</v>
      </c>
      <c r="U297" s="33">
        <f>L287</f>
        <v>3943.74</v>
      </c>
      <c r="X297" s="33">
        <f>J289</f>
        <v>151.26</v>
      </c>
      <c r="Z297" s="33">
        <f>L289</f>
        <v>4375.95</v>
      </c>
      <c r="AB297" s="33">
        <f>J288</f>
        <v>2020.02</v>
      </c>
      <c r="AD297" s="33">
        <f>L288</f>
        <v>0</v>
      </c>
      <c r="AF297" s="33">
        <f>J290</f>
        <v>7.54</v>
      </c>
      <c r="AN297">
        <f>IF(Source!BI92&lt;=1,J287+J288+J290+J295+J296, 0)</f>
        <v>0</v>
      </c>
      <c r="AO297">
        <f>IF(Source!BI92&lt;=1,J290, 0)</f>
        <v>0</v>
      </c>
      <c r="AP297">
        <f>IF(Source!BI92&lt;=1,J288, 0)</f>
        <v>0</v>
      </c>
      <c r="AQ297">
        <f>IF(Source!BI92&lt;=1,J287, 0)</f>
        <v>0</v>
      </c>
      <c r="AX297">
        <f>IF(Source!BI92=2,J287+J288+J290+J295+J296, 0)</f>
        <v>2589.5</v>
      </c>
      <c r="AY297">
        <f>IF(Source!BI92=2,J290, 0)</f>
        <v>7.54</v>
      </c>
      <c r="AZ297">
        <f>IF(Source!BI92=2,J288, 0)</f>
        <v>2020.02</v>
      </c>
      <c r="BA297">
        <f>IF(Source!BI92=2,J287, 0)</f>
        <v>136.32</v>
      </c>
    </row>
    <row r="298" spans="1:56" ht="119.25">
      <c r="A298" s="57">
        <v>22</v>
      </c>
      <c r="B298" s="57" t="str">
        <f>Source!F93</f>
        <v>м08-02-144-6</v>
      </c>
      <c r="C298" s="57" t="s">
        <v>847</v>
      </c>
      <c r="D298" s="42" t="str">
        <f>Source!H93</f>
        <v>100 шт.</v>
      </c>
      <c r="E298" s="38">
        <f>Source!K93</f>
        <v>0.08</v>
      </c>
      <c r="F298" s="38"/>
      <c r="G298" s="38">
        <f>Source!I93</f>
        <v>0.08</v>
      </c>
      <c r="H298" s="35"/>
      <c r="I298" s="43"/>
      <c r="J298" s="35"/>
      <c r="K298" s="43"/>
      <c r="L298" s="35"/>
      <c r="AG298">
        <f>Source!X93</f>
        <v>22.25</v>
      </c>
      <c r="AH298">
        <f>Source!HK93</f>
        <v>643.74</v>
      </c>
      <c r="AI298">
        <f>Source!Y93</f>
        <v>11.7</v>
      </c>
      <c r="AJ298">
        <f>Source!HL93</f>
        <v>338.46</v>
      </c>
      <c r="AS298">
        <f>IF(Source!BI93&lt;=1,AH298, 0)</f>
        <v>0</v>
      </c>
      <c r="AT298">
        <f>IF(Source!BI93&lt;=1,AJ298, 0)</f>
        <v>0</v>
      </c>
      <c r="BC298">
        <f>IF(Source!BI93=2,AH298, 0)</f>
        <v>643.74</v>
      </c>
      <c r="BD298">
        <f>IF(Source!BI93=2,AJ298, 0)</f>
        <v>338.46</v>
      </c>
    </row>
    <row r="300" spans="1:56">
      <c r="C300" s="32" t="str">
        <f>"Объем: "&amp;Source!K93&amp;"=8/"&amp;"100"</f>
        <v>Объем: 0,08=8/100</v>
      </c>
    </row>
    <row r="301" spans="1:56" ht="14.25">
      <c r="A301" s="57"/>
      <c r="B301" s="58">
        <v>1</v>
      </c>
      <c r="C301" s="57" t="s">
        <v>794</v>
      </c>
      <c r="D301" s="42"/>
      <c r="E301" s="38"/>
      <c r="F301" s="38"/>
      <c r="G301" s="38"/>
      <c r="H301" s="35">
        <f>Source!AO93</f>
        <v>212.43</v>
      </c>
      <c r="I301" s="43">
        <f>ROUND(1.35,7)</f>
        <v>1.35</v>
      </c>
      <c r="J301" s="35">
        <f>ROUND(Source!AF93*Source!I93, 2)</f>
        <v>22.94</v>
      </c>
      <c r="K301" s="43">
        <f>IF(Source!BA93&lt;&gt; 0, Source!BA93, 1)</f>
        <v>28.93</v>
      </c>
      <c r="L301" s="35">
        <f>Source!HJ93</f>
        <v>663.65</v>
      </c>
    </row>
    <row r="302" spans="1:56" ht="14.25">
      <c r="A302" s="57"/>
      <c r="B302" s="58">
        <v>4</v>
      </c>
      <c r="C302" s="57" t="s">
        <v>813</v>
      </c>
      <c r="D302" s="42"/>
      <c r="E302" s="38"/>
      <c r="F302" s="38"/>
      <c r="G302" s="38"/>
      <c r="H302" s="35">
        <f>Source!AL93</f>
        <v>4.25</v>
      </c>
      <c r="I302" s="43"/>
      <c r="J302" s="35">
        <f>ROUND(Source!AC93*Source!I93, 2)</f>
        <v>0.34</v>
      </c>
      <c r="K302" s="43"/>
      <c r="L302" s="35"/>
    </row>
    <row r="303" spans="1:56" ht="14.25">
      <c r="A303" s="57"/>
      <c r="B303" s="57"/>
      <c r="C303" s="59" t="s">
        <v>795</v>
      </c>
      <c r="D303" s="44" t="s">
        <v>796</v>
      </c>
      <c r="E303" s="45">
        <f>Source!AQ93</f>
        <v>22.72</v>
      </c>
      <c r="F303" s="45">
        <f>ROUND(1.35,7)</f>
        <v>1.35</v>
      </c>
      <c r="G303" s="45">
        <f>ROUND(Source!U93, 7)</f>
        <v>2.4537599999999999</v>
      </c>
      <c r="H303" s="46"/>
      <c r="I303" s="47"/>
      <c r="J303" s="46"/>
      <c r="K303" s="47"/>
      <c r="L303" s="46"/>
    </row>
    <row r="304" spans="1:56" ht="14.25">
      <c r="A304" s="57"/>
      <c r="B304" s="57"/>
      <c r="C304" s="57" t="s">
        <v>797</v>
      </c>
      <c r="D304" s="42"/>
      <c r="E304" s="38"/>
      <c r="F304" s="38"/>
      <c r="G304" s="38"/>
      <c r="H304" s="35">
        <f>H301+H302</f>
        <v>216.68</v>
      </c>
      <c r="I304" s="43"/>
      <c r="J304" s="35">
        <f>J301+J302</f>
        <v>23.28</v>
      </c>
      <c r="K304" s="43"/>
      <c r="L304" s="35"/>
    </row>
    <row r="305" spans="1:56" ht="14.25">
      <c r="A305" s="57"/>
      <c r="B305" s="57"/>
      <c r="C305" s="57" t="s">
        <v>798</v>
      </c>
      <c r="D305" s="42"/>
      <c r="E305" s="38"/>
      <c r="F305" s="38"/>
      <c r="G305" s="38"/>
      <c r="H305" s="35"/>
      <c r="I305" s="43"/>
      <c r="J305" s="35">
        <f>SUM(Q298:Q308)+SUM(V298:V308)+SUM(X298:X308)+SUM(Y298:Y308)</f>
        <v>22.94</v>
      </c>
      <c r="K305" s="43"/>
      <c r="L305" s="35">
        <f>SUM(U298:U308)+SUM(W298:W308)+SUM(Z298:Z308)+SUM(AA298:AA308)</f>
        <v>663.65</v>
      </c>
    </row>
    <row r="306" spans="1:56" ht="28.5">
      <c r="A306" s="57"/>
      <c r="B306" s="57" t="s">
        <v>162</v>
      </c>
      <c r="C306" s="57" t="s">
        <v>836</v>
      </c>
      <c r="D306" s="42" t="s">
        <v>800</v>
      </c>
      <c r="E306" s="38">
        <f>Source!BZ93</f>
        <v>97</v>
      </c>
      <c r="F306" s="38"/>
      <c r="G306" s="38">
        <f>Source!AT93</f>
        <v>97</v>
      </c>
      <c r="H306" s="35"/>
      <c r="I306" s="43"/>
      <c r="J306" s="35">
        <f>SUM(AG298:AG308)</f>
        <v>22.25</v>
      </c>
      <c r="K306" s="43"/>
      <c r="L306" s="35">
        <f>SUM(AH298:AH308)</f>
        <v>643.74</v>
      </c>
    </row>
    <row r="307" spans="1:56" ht="28.5">
      <c r="A307" s="59"/>
      <c r="B307" s="59" t="s">
        <v>163</v>
      </c>
      <c r="C307" s="59" t="s">
        <v>837</v>
      </c>
      <c r="D307" s="44" t="s">
        <v>800</v>
      </c>
      <c r="E307" s="45">
        <f>Source!CA93</f>
        <v>51</v>
      </c>
      <c r="F307" s="45"/>
      <c r="G307" s="45">
        <f>Source!AU93</f>
        <v>51</v>
      </c>
      <c r="H307" s="46"/>
      <c r="I307" s="47"/>
      <c r="J307" s="46">
        <f>SUM(AI298:AI308)</f>
        <v>11.7</v>
      </c>
      <c r="K307" s="47"/>
      <c r="L307" s="46">
        <f>SUM(AJ298:AJ308)</f>
        <v>338.46</v>
      </c>
    </row>
    <row r="308" spans="1:56" ht="15">
      <c r="C308" s="108" t="s">
        <v>802</v>
      </c>
      <c r="D308" s="108"/>
      <c r="E308" s="108"/>
      <c r="F308" s="108"/>
      <c r="G308" s="108"/>
      <c r="H308" s="108"/>
      <c r="I308" s="108">
        <f>J301+J302+J306+J307</f>
        <v>57.230000000000004</v>
      </c>
      <c r="J308" s="108"/>
      <c r="O308" s="33">
        <f>I308</f>
        <v>57.230000000000004</v>
      </c>
      <c r="P308">
        <f>K308</f>
        <v>0</v>
      </c>
      <c r="Q308" s="33">
        <f>J301</f>
        <v>22.94</v>
      </c>
      <c r="R308" s="33">
        <f>J301</f>
        <v>22.94</v>
      </c>
      <c r="U308" s="33">
        <f>L301</f>
        <v>663.65</v>
      </c>
      <c r="X308">
        <f>0</f>
        <v>0</v>
      </c>
      <c r="Z308">
        <f>0</f>
        <v>0</v>
      </c>
      <c r="AB308">
        <f>0</f>
        <v>0</v>
      </c>
      <c r="AD308">
        <f>0</f>
        <v>0</v>
      </c>
      <c r="AF308" s="33">
        <f>J302</f>
        <v>0.34</v>
      </c>
      <c r="AN308">
        <f>IF(Source!BI93&lt;=1,J301+J302+J306+J307, 0)</f>
        <v>0</v>
      </c>
      <c r="AO308">
        <f>IF(Source!BI93&lt;=1,J302, 0)</f>
        <v>0</v>
      </c>
      <c r="AP308">
        <f>IF(Source!BI93&lt;=1,0, 0)</f>
        <v>0</v>
      </c>
      <c r="AQ308">
        <f>IF(Source!BI93&lt;=1,J301, 0)</f>
        <v>0</v>
      </c>
      <c r="AX308">
        <f>IF(Source!BI93=2,J301+J302+J306+J307, 0)</f>
        <v>57.230000000000004</v>
      </c>
      <c r="AY308">
        <f>IF(Source!BI93=2,J302, 0)</f>
        <v>0.34</v>
      </c>
      <c r="AZ308">
        <f>IF(Source!BI93=2,0, 0)</f>
        <v>0</v>
      </c>
      <c r="BA308">
        <f>IF(Source!BI93=2,J301, 0)</f>
        <v>22.94</v>
      </c>
    </row>
    <row r="309" spans="1:56" ht="147.75">
      <c r="A309" s="57">
        <v>23</v>
      </c>
      <c r="B309" s="57" t="str">
        <f>Source!F94</f>
        <v>м08-02-166-11</v>
      </c>
      <c r="C309" s="57" t="s">
        <v>848</v>
      </c>
      <c r="D309" s="42" t="str">
        <f>Source!H94</f>
        <v>1  ШТ.</v>
      </c>
      <c r="E309" s="38">
        <f>Source!K94</f>
        <v>8</v>
      </c>
      <c r="F309" s="38"/>
      <c r="G309" s="38">
        <f>Source!I94</f>
        <v>8</v>
      </c>
      <c r="H309" s="35"/>
      <c r="I309" s="43"/>
      <c r="J309" s="35"/>
      <c r="K309" s="43"/>
      <c r="L309" s="35"/>
      <c r="AG309">
        <f>Source!X94</f>
        <v>1189.69</v>
      </c>
      <c r="AH309">
        <f>Source!HK94</f>
        <v>34417.61</v>
      </c>
      <c r="AI309">
        <f>Source!Y94</f>
        <v>625.5</v>
      </c>
      <c r="AJ309">
        <f>Source!HL94</f>
        <v>18095.86</v>
      </c>
      <c r="AS309">
        <f>IF(Source!BI94&lt;=1,AH309, 0)</f>
        <v>0</v>
      </c>
      <c r="AT309">
        <f>IF(Source!BI94&lt;=1,AJ309, 0)</f>
        <v>0</v>
      </c>
      <c r="BC309">
        <f>IF(Source!BI94=2,AH309, 0)</f>
        <v>34417.61</v>
      </c>
      <c r="BD309">
        <f>IF(Source!BI94=2,AJ309, 0)</f>
        <v>18095.86</v>
      </c>
    </row>
    <row r="311" spans="1:56" ht="14.25">
      <c r="A311" s="57"/>
      <c r="B311" s="58">
        <v>1</v>
      </c>
      <c r="C311" s="57" t="s">
        <v>794</v>
      </c>
      <c r="D311" s="42"/>
      <c r="E311" s="38"/>
      <c r="F311" s="38"/>
      <c r="G311" s="38"/>
      <c r="H311" s="35">
        <f>Source!AO94</f>
        <v>110.7</v>
      </c>
      <c r="I311" s="43">
        <f>ROUND(1.15*1.2,7)</f>
        <v>1.38</v>
      </c>
      <c r="J311" s="35">
        <f>ROUND(Source!AF94*Source!I94, 2)</f>
        <v>1222.1600000000001</v>
      </c>
      <c r="K311" s="43">
        <f>IF(Source!BA94&lt;&gt; 0, Source!BA94, 1)</f>
        <v>28.93</v>
      </c>
      <c r="L311" s="35">
        <f>Source!HJ94</f>
        <v>35357.089999999997</v>
      </c>
    </row>
    <row r="312" spans="1:56" ht="14.25">
      <c r="A312" s="57"/>
      <c r="B312" s="58">
        <v>3</v>
      </c>
      <c r="C312" s="57" t="s">
        <v>805</v>
      </c>
      <c r="D312" s="42"/>
      <c r="E312" s="38"/>
      <c r="F312" s="38"/>
      <c r="G312" s="38"/>
      <c r="H312" s="35">
        <f>Source!AM94</f>
        <v>7.12</v>
      </c>
      <c r="I312" s="43">
        <f>ROUND(1.15*1.2,7)</f>
        <v>1.38</v>
      </c>
      <c r="J312" s="35">
        <f>ROUND(Source!AD94*Source!I94, 2)</f>
        <v>78.64</v>
      </c>
      <c r="K312" s="43"/>
      <c r="L312" s="35"/>
    </row>
    <row r="313" spans="1:56" ht="14.25">
      <c r="A313" s="57"/>
      <c r="B313" s="58">
        <v>2</v>
      </c>
      <c r="C313" s="57" t="s">
        <v>806</v>
      </c>
      <c r="D313" s="42"/>
      <c r="E313" s="38"/>
      <c r="F313" s="38"/>
      <c r="G313" s="38"/>
      <c r="H313" s="35">
        <f>Source!AN94</f>
        <v>0.39</v>
      </c>
      <c r="I313" s="43">
        <f>ROUND(1.15*1.2,7)</f>
        <v>1.38</v>
      </c>
      <c r="J313" s="48">
        <f>ROUND(Source!AE94*Source!I94, 2)</f>
        <v>4.32</v>
      </c>
      <c r="K313" s="43">
        <f>IF(Source!BS94&lt;&gt; 0, Source!BS94, 1)</f>
        <v>28.93</v>
      </c>
      <c r="L313" s="48">
        <f>Source!HI94</f>
        <v>124.98</v>
      </c>
    </row>
    <row r="314" spans="1:56" ht="14.25">
      <c r="A314" s="57"/>
      <c r="B314" s="58">
        <v>4</v>
      </c>
      <c r="C314" s="57" t="s">
        <v>813</v>
      </c>
      <c r="D314" s="42"/>
      <c r="E314" s="38"/>
      <c r="F314" s="38"/>
      <c r="G314" s="38"/>
      <c r="H314" s="35">
        <f>Source!AL94</f>
        <v>21.19</v>
      </c>
      <c r="I314" s="43"/>
      <c r="J314" s="35">
        <f>ROUND(Source!AC94*Source!I94, 2)</f>
        <v>169.52</v>
      </c>
      <c r="K314" s="43"/>
      <c r="L314" s="35"/>
    </row>
    <row r="315" spans="1:56" ht="14.25">
      <c r="A315" s="57"/>
      <c r="B315" s="57"/>
      <c r="C315" s="57" t="s">
        <v>795</v>
      </c>
      <c r="D315" s="42" t="s">
        <v>796</v>
      </c>
      <c r="E315" s="38">
        <f>Source!AQ94</f>
        <v>11.84</v>
      </c>
      <c r="F315" s="38">
        <f>ROUND(1.15*1.2,7)</f>
        <v>1.38</v>
      </c>
      <c r="G315" s="38">
        <f>ROUND(Source!U94, 7)</f>
        <v>130.71360000000001</v>
      </c>
      <c r="H315" s="35"/>
      <c r="I315" s="43"/>
      <c r="J315" s="35"/>
      <c r="K315" s="43"/>
      <c r="L315" s="35"/>
    </row>
    <row r="316" spans="1:56" ht="14.25">
      <c r="A316" s="57"/>
      <c r="B316" s="57"/>
      <c r="C316" s="59" t="s">
        <v>807</v>
      </c>
      <c r="D316" s="44" t="s">
        <v>796</v>
      </c>
      <c r="E316" s="45">
        <f>Source!AR94</f>
        <v>0.06</v>
      </c>
      <c r="F316" s="45">
        <f>ROUND(1.15*1.2,7)</f>
        <v>1.38</v>
      </c>
      <c r="G316" s="45">
        <f>ROUND(Source!V94, 7)</f>
        <v>0.66239999999999999</v>
      </c>
      <c r="H316" s="46"/>
      <c r="I316" s="47"/>
      <c r="J316" s="46"/>
      <c r="K316" s="47"/>
      <c r="L316" s="46"/>
    </row>
    <row r="317" spans="1:56" ht="14.25">
      <c r="A317" s="57"/>
      <c r="B317" s="57"/>
      <c r="C317" s="57" t="s">
        <v>797</v>
      </c>
      <c r="D317" s="42"/>
      <c r="E317" s="38"/>
      <c r="F317" s="38"/>
      <c r="G317" s="38"/>
      <c r="H317" s="35">
        <f>H311+H312+H314</f>
        <v>139.01000000000002</v>
      </c>
      <c r="I317" s="43"/>
      <c r="J317" s="35">
        <f>J311+J312+J314</f>
        <v>1470.3200000000002</v>
      </c>
      <c r="K317" s="43"/>
      <c r="L317" s="35"/>
    </row>
    <row r="318" spans="1:56" ht="14.25">
      <c r="A318" s="57"/>
      <c r="B318" s="57"/>
      <c r="C318" s="57" t="s">
        <v>798</v>
      </c>
      <c r="D318" s="42"/>
      <c r="E318" s="38"/>
      <c r="F318" s="38"/>
      <c r="G318" s="38"/>
      <c r="H318" s="35"/>
      <c r="I318" s="43"/>
      <c r="J318" s="35">
        <f>SUM(Q309:Q321)+SUM(V309:V321)+SUM(X309:X321)+SUM(Y309:Y321)</f>
        <v>1226.48</v>
      </c>
      <c r="K318" s="43"/>
      <c r="L318" s="35">
        <f>SUM(U309:U321)+SUM(W309:W321)+SUM(Z309:Z321)+SUM(AA309:AA321)</f>
        <v>35482.07</v>
      </c>
    </row>
    <row r="319" spans="1:56" ht="28.5">
      <c r="A319" s="57"/>
      <c r="B319" s="57" t="s">
        <v>162</v>
      </c>
      <c r="C319" s="57" t="s">
        <v>836</v>
      </c>
      <c r="D319" s="42" t="s">
        <v>800</v>
      </c>
      <c r="E319" s="38">
        <f>Source!BZ94</f>
        <v>97</v>
      </c>
      <c r="F319" s="38"/>
      <c r="G319" s="38">
        <f>Source!AT94</f>
        <v>97</v>
      </c>
      <c r="H319" s="35"/>
      <c r="I319" s="43"/>
      <c r="J319" s="35">
        <f>SUM(AG309:AG321)</f>
        <v>1189.69</v>
      </c>
      <c r="K319" s="43"/>
      <c r="L319" s="35">
        <f>SUM(AH309:AH321)</f>
        <v>34417.61</v>
      </c>
    </row>
    <row r="320" spans="1:56" ht="28.5">
      <c r="A320" s="59"/>
      <c r="B320" s="59" t="s">
        <v>163</v>
      </c>
      <c r="C320" s="59" t="s">
        <v>837</v>
      </c>
      <c r="D320" s="44" t="s">
        <v>800</v>
      </c>
      <c r="E320" s="45">
        <f>Source!CA94</f>
        <v>51</v>
      </c>
      <c r="F320" s="45"/>
      <c r="G320" s="45">
        <f>Source!AU94</f>
        <v>51</v>
      </c>
      <c r="H320" s="46"/>
      <c r="I320" s="47"/>
      <c r="J320" s="46">
        <f>SUM(AI309:AI321)</f>
        <v>625.5</v>
      </c>
      <c r="K320" s="47"/>
      <c r="L320" s="46">
        <f>SUM(AJ309:AJ321)</f>
        <v>18095.86</v>
      </c>
    </row>
    <row r="321" spans="1:56" ht="15">
      <c r="C321" s="108" t="s">
        <v>802</v>
      </c>
      <c r="D321" s="108"/>
      <c r="E321" s="108"/>
      <c r="F321" s="108"/>
      <c r="G321" s="108"/>
      <c r="H321" s="108"/>
      <c r="I321" s="108">
        <f>J311+J312+J314+J319+J320</f>
        <v>3285.51</v>
      </c>
      <c r="J321" s="108"/>
      <c r="O321" s="33">
        <f>I321</f>
        <v>3285.51</v>
      </c>
      <c r="P321">
        <f>K321</f>
        <v>0</v>
      </c>
      <c r="Q321" s="33">
        <f>J311</f>
        <v>1222.1600000000001</v>
      </c>
      <c r="R321" s="33">
        <f>J311</f>
        <v>1222.1600000000001</v>
      </c>
      <c r="U321" s="33">
        <f>L311</f>
        <v>35357.089999999997</v>
      </c>
      <c r="X321" s="33">
        <f>J313</f>
        <v>4.32</v>
      </c>
      <c r="Z321" s="33">
        <f>L313</f>
        <v>124.98</v>
      </c>
      <c r="AB321" s="33">
        <f>J312</f>
        <v>78.64</v>
      </c>
      <c r="AD321" s="33">
        <f>L312</f>
        <v>0</v>
      </c>
      <c r="AF321" s="33">
        <f>J314</f>
        <v>169.52</v>
      </c>
      <c r="AN321">
        <f>IF(Source!BI94&lt;=1,J311+J312+J314+J319+J320, 0)</f>
        <v>0</v>
      </c>
      <c r="AO321">
        <f>IF(Source!BI94&lt;=1,J314, 0)</f>
        <v>0</v>
      </c>
      <c r="AP321">
        <f>IF(Source!BI94&lt;=1,J312, 0)</f>
        <v>0</v>
      </c>
      <c r="AQ321">
        <f>IF(Source!BI94&lt;=1,J311, 0)</f>
        <v>0</v>
      </c>
      <c r="AX321">
        <f>IF(Source!BI94=2,J311+J312+J314+J319+J320, 0)</f>
        <v>3285.51</v>
      </c>
      <c r="AY321">
        <f>IF(Source!BI94=2,J314, 0)</f>
        <v>169.52</v>
      </c>
      <c r="AZ321">
        <f>IF(Source!BI94=2,J312, 0)</f>
        <v>78.64</v>
      </c>
      <c r="BA321">
        <f>IF(Source!BI94=2,J311, 0)</f>
        <v>1222.1600000000001</v>
      </c>
    </row>
    <row r="322" spans="1:56" ht="119.25">
      <c r="A322" s="57">
        <v>24</v>
      </c>
      <c r="B322" s="57" t="str">
        <f>Source!F95</f>
        <v>м08-02-155-1</v>
      </c>
      <c r="C322" s="57" t="s">
        <v>849</v>
      </c>
      <c r="D322" s="42" t="str">
        <f>Source!H95</f>
        <v>1 проход кабеля</v>
      </c>
      <c r="E322" s="38">
        <f>Source!K95</f>
        <v>8</v>
      </c>
      <c r="F322" s="38"/>
      <c r="G322" s="38">
        <f>Source!I95</f>
        <v>8</v>
      </c>
      <c r="H322" s="35"/>
      <c r="I322" s="43"/>
      <c r="J322" s="35"/>
      <c r="K322" s="43"/>
      <c r="L322" s="35"/>
      <c r="AG322">
        <f>Source!X95</f>
        <v>38.020000000000003</v>
      </c>
      <c r="AH322">
        <f>Source!HK95</f>
        <v>1100.04</v>
      </c>
      <c r="AI322">
        <f>Source!Y95</f>
        <v>19.989999999999998</v>
      </c>
      <c r="AJ322">
        <f>Source!HL95</f>
        <v>578.37</v>
      </c>
      <c r="AS322">
        <f>IF(Source!BI95&lt;=1,AH322, 0)</f>
        <v>0</v>
      </c>
      <c r="AT322">
        <f>IF(Source!BI95&lt;=1,AJ322, 0)</f>
        <v>0</v>
      </c>
      <c r="BC322">
        <f>IF(Source!BI95=2,AH322, 0)</f>
        <v>1100.04</v>
      </c>
      <c r="BD322">
        <f>IF(Source!BI95=2,AJ322, 0)</f>
        <v>578.37</v>
      </c>
    </row>
    <row r="324" spans="1:56" ht="14.25">
      <c r="A324" s="57"/>
      <c r="B324" s="58">
        <v>1</v>
      </c>
      <c r="C324" s="57" t="s">
        <v>794</v>
      </c>
      <c r="D324" s="42"/>
      <c r="E324" s="38"/>
      <c r="F324" s="38"/>
      <c r="G324" s="38"/>
      <c r="H324" s="35">
        <f>Source!AO95</f>
        <v>3.55</v>
      </c>
      <c r="I324" s="43">
        <f>ROUND(1.15*1.2,7)</f>
        <v>1.38</v>
      </c>
      <c r="J324" s="35">
        <f>ROUND(Source!AF95*Source!I95, 2)</f>
        <v>39.200000000000003</v>
      </c>
      <c r="K324" s="43">
        <f>IF(Source!BA95&lt;&gt; 0, Source!BA95, 1)</f>
        <v>28.93</v>
      </c>
      <c r="L324" s="35">
        <f>Source!HJ95</f>
        <v>1134.06</v>
      </c>
    </row>
    <row r="325" spans="1:56" ht="14.25">
      <c r="A325" s="57"/>
      <c r="B325" s="58">
        <v>4</v>
      </c>
      <c r="C325" s="57" t="s">
        <v>813</v>
      </c>
      <c r="D325" s="42"/>
      <c r="E325" s="38"/>
      <c r="F325" s="38"/>
      <c r="G325" s="38"/>
      <c r="H325" s="35">
        <f>Source!AL95</f>
        <v>17.79</v>
      </c>
      <c r="I325" s="43"/>
      <c r="J325" s="35">
        <f>ROUND(Source!AC95*Source!I95, 2)</f>
        <v>142.32</v>
      </c>
      <c r="K325" s="43"/>
      <c r="L325" s="35"/>
    </row>
    <row r="326" spans="1:56" ht="14.25">
      <c r="A326" s="57"/>
      <c r="B326" s="57"/>
      <c r="C326" s="59" t="s">
        <v>795</v>
      </c>
      <c r="D326" s="44" t="s">
        <v>796</v>
      </c>
      <c r="E326" s="45">
        <f>Source!AQ95</f>
        <v>0.38</v>
      </c>
      <c r="F326" s="45">
        <f>ROUND(1.15*1.2,7)</f>
        <v>1.38</v>
      </c>
      <c r="G326" s="45">
        <f>ROUND(Source!U95, 7)</f>
        <v>4.1951999999999998</v>
      </c>
      <c r="H326" s="46"/>
      <c r="I326" s="47"/>
      <c r="J326" s="46"/>
      <c r="K326" s="47"/>
      <c r="L326" s="46"/>
    </row>
    <row r="327" spans="1:56" ht="14.25">
      <c r="A327" s="57"/>
      <c r="B327" s="57"/>
      <c r="C327" s="57" t="s">
        <v>797</v>
      </c>
      <c r="D327" s="42"/>
      <c r="E327" s="38"/>
      <c r="F327" s="38"/>
      <c r="G327" s="38"/>
      <c r="H327" s="35">
        <f>H324+H325</f>
        <v>21.34</v>
      </c>
      <c r="I327" s="43"/>
      <c r="J327" s="35">
        <f>J324+J325</f>
        <v>181.51999999999998</v>
      </c>
      <c r="K327" s="43"/>
      <c r="L327" s="35"/>
    </row>
    <row r="328" spans="1:56" ht="28.5">
      <c r="A328" s="57" t="s">
        <v>216</v>
      </c>
      <c r="B328" s="57" t="str">
        <f>Source!F96</f>
        <v>509-0900</v>
      </c>
      <c r="C328" s="57" t="s">
        <v>850</v>
      </c>
      <c r="D328" s="42" t="str">
        <f>Source!H96</f>
        <v>кг</v>
      </c>
      <c r="E328" s="38">
        <f>SmtRes!AT118</f>
        <v>-0.72</v>
      </c>
      <c r="F328" s="38"/>
      <c r="G328" s="38">
        <f>Source!I96</f>
        <v>-5.76</v>
      </c>
      <c r="H328" s="35">
        <f>Source!AL96+Source!AO96+Source!AM96</f>
        <v>19.940000000000001</v>
      </c>
      <c r="I328" s="43"/>
      <c r="J328" s="35">
        <f>ROUND(Source!AC96*Source!I96, 2)+ROUND(Source!AD96*Source!I96, 2)+ROUND(Source!AF96*Source!I96, 2)</f>
        <v>-114.85</v>
      </c>
      <c r="K328" s="43"/>
      <c r="L328" s="35"/>
      <c r="AF328" s="33">
        <f>J328</f>
        <v>-114.85</v>
      </c>
      <c r="AG328">
        <f>Source!X96</f>
        <v>0</v>
      </c>
      <c r="AH328">
        <f>Source!HK96</f>
        <v>0</v>
      </c>
      <c r="AI328">
        <f>Source!Y96</f>
        <v>0</v>
      </c>
      <c r="AJ328">
        <f>Source!HL96</f>
        <v>0</v>
      </c>
      <c r="AN328">
        <f>IF(Source!BI96&lt;=1,J328, 0)</f>
        <v>0</v>
      </c>
      <c r="AO328">
        <f>IF(Source!BI96&lt;=1,J328, 0)</f>
        <v>0</v>
      </c>
      <c r="AS328">
        <f>IF(Source!BI96&lt;=1,AH328, 0)</f>
        <v>0</v>
      </c>
      <c r="AT328">
        <f>IF(Source!BI96&lt;=1,AJ328, 0)</f>
        <v>0</v>
      </c>
      <c r="AX328">
        <f>IF(Source!BI96=2,J328, 0)</f>
        <v>-114.85</v>
      </c>
      <c r="AY328">
        <f>IF(Source!BI96=2,J328, 0)</f>
        <v>-114.85</v>
      </c>
      <c r="BC328">
        <f>IF(Source!BI96=2,AH328, 0)</f>
        <v>0</v>
      </c>
      <c r="BD328">
        <f>IF(Source!BI96=2,AJ328, 0)</f>
        <v>0</v>
      </c>
    </row>
    <row r="329" spans="1:56" ht="14.25">
      <c r="A329" s="57"/>
      <c r="B329" s="57"/>
      <c r="C329" s="57" t="s">
        <v>798</v>
      </c>
      <c r="D329" s="42"/>
      <c r="E329" s="38"/>
      <c r="F329" s="38"/>
      <c r="G329" s="38"/>
      <c r="H329" s="35"/>
      <c r="I329" s="43"/>
      <c r="J329" s="35">
        <f>SUM(Q322:Q332)+SUM(V322:V332)+SUM(X322:X332)+SUM(Y322:Y332)</f>
        <v>39.200000000000003</v>
      </c>
      <c r="K329" s="43"/>
      <c r="L329" s="35">
        <f>SUM(U322:U332)+SUM(W322:W332)+SUM(Z322:Z332)+SUM(AA322:AA332)</f>
        <v>1134.06</v>
      </c>
    </row>
    <row r="330" spans="1:56" ht="28.5">
      <c r="A330" s="57"/>
      <c r="B330" s="57" t="s">
        <v>162</v>
      </c>
      <c r="C330" s="57" t="s">
        <v>836</v>
      </c>
      <c r="D330" s="42" t="s">
        <v>800</v>
      </c>
      <c r="E330" s="38">
        <f>Source!BZ95</f>
        <v>97</v>
      </c>
      <c r="F330" s="38"/>
      <c r="G330" s="38">
        <f>Source!AT95</f>
        <v>97</v>
      </c>
      <c r="H330" s="35"/>
      <c r="I330" s="43"/>
      <c r="J330" s="35">
        <f>SUM(AG322:AG332)</f>
        <v>38.020000000000003</v>
      </c>
      <c r="K330" s="43"/>
      <c r="L330" s="35">
        <f>SUM(AH322:AH332)</f>
        <v>1100.04</v>
      </c>
    </row>
    <row r="331" spans="1:56" ht="28.5">
      <c r="A331" s="59"/>
      <c r="B331" s="59" t="s">
        <v>163</v>
      </c>
      <c r="C331" s="59" t="s">
        <v>837</v>
      </c>
      <c r="D331" s="44" t="s">
        <v>800</v>
      </c>
      <c r="E331" s="45">
        <f>Source!CA95</f>
        <v>51</v>
      </c>
      <c r="F331" s="45"/>
      <c r="G331" s="45">
        <f>Source!AU95</f>
        <v>51</v>
      </c>
      <c r="H331" s="46"/>
      <c r="I331" s="47"/>
      <c r="J331" s="46">
        <f>SUM(AI322:AI332)</f>
        <v>19.989999999999998</v>
      </c>
      <c r="K331" s="47"/>
      <c r="L331" s="46">
        <f>SUM(AJ322:AJ332)</f>
        <v>578.37</v>
      </c>
    </row>
    <row r="332" spans="1:56" ht="15">
      <c r="C332" s="108" t="s">
        <v>802</v>
      </c>
      <c r="D332" s="108"/>
      <c r="E332" s="108"/>
      <c r="F332" s="108"/>
      <c r="G332" s="108"/>
      <c r="H332" s="108"/>
      <c r="I332" s="108">
        <f>J324+J325+J330+J331+SUM(J328:J328)</f>
        <v>124.68</v>
      </c>
      <c r="J332" s="108"/>
      <c r="O332" s="33">
        <f>I332</f>
        <v>124.68</v>
      </c>
      <c r="P332">
        <f>K332</f>
        <v>0</v>
      </c>
      <c r="Q332" s="33">
        <f>J324</f>
        <v>39.200000000000003</v>
      </c>
      <c r="R332" s="33">
        <f>J324</f>
        <v>39.200000000000003</v>
      </c>
      <c r="U332" s="33">
        <f>L324</f>
        <v>1134.06</v>
      </c>
      <c r="X332">
        <f>0</f>
        <v>0</v>
      </c>
      <c r="Z332">
        <f>0</f>
        <v>0</v>
      </c>
      <c r="AB332">
        <f>0</f>
        <v>0</v>
      </c>
      <c r="AD332">
        <f>0</f>
        <v>0</v>
      </c>
      <c r="AF332" s="33">
        <f>J325</f>
        <v>142.32</v>
      </c>
      <c r="AN332">
        <f>IF(Source!BI95&lt;=1,J324+J325+J330+J331, 0)</f>
        <v>0</v>
      </c>
      <c r="AO332">
        <f>IF(Source!BI95&lt;=1,J325, 0)</f>
        <v>0</v>
      </c>
      <c r="AP332">
        <f>IF(Source!BI95&lt;=1,0, 0)</f>
        <v>0</v>
      </c>
      <c r="AQ332">
        <f>IF(Source!BI95&lt;=1,J324, 0)</f>
        <v>0</v>
      </c>
      <c r="AX332">
        <f>IF(Source!BI95=2,J324+J325+J330+J331, 0)</f>
        <v>239.53</v>
      </c>
      <c r="AY332">
        <f>IF(Source!BI95=2,J325, 0)</f>
        <v>142.32</v>
      </c>
      <c r="AZ332">
        <f>IF(Source!BI95=2,0, 0)</f>
        <v>0</v>
      </c>
      <c r="BA332">
        <f>IF(Source!BI95=2,J324, 0)</f>
        <v>39.200000000000003</v>
      </c>
    </row>
    <row r="333" spans="1:56" ht="119.25">
      <c r="A333" s="57">
        <v>25</v>
      </c>
      <c r="B333" s="57" t="str">
        <f>Source!F97</f>
        <v>м08-03-523-2</v>
      </c>
      <c r="C333" s="57" t="s">
        <v>851</v>
      </c>
      <c r="D333" s="42" t="str">
        <f>Source!H97</f>
        <v>1  ШТ.</v>
      </c>
      <c r="E333" s="38">
        <f>Source!K97</f>
        <v>6</v>
      </c>
      <c r="F333" s="38"/>
      <c r="G333" s="38">
        <f>Source!I97</f>
        <v>6</v>
      </c>
      <c r="H333" s="35"/>
      <c r="I333" s="43"/>
      <c r="J333" s="35"/>
      <c r="K333" s="43"/>
      <c r="L333" s="35"/>
      <c r="AG333">
        <f>Source!X97</f>
        <v>101.38</v>
      </c>
      <c r="AH333">
        <f>Source!HK97</f>
        <v>2933.05</v>
      </c>
      <c r="AI333">
        <f>Source!Y97</f>
        <v>53.31</v>
      </c>
      <c r="AJ333">
        <f>Source!HL97</f>
        <v>1542.12</v>
      </c>
      <c r="AS333">
        <f>IF(Source!BI97&lt;=1,AH333, 0)</f>
        <v>0</v>
      </c>
      <c r="AT333">
        <f>IF(Source!BI97&lt;=1,AJ333, 0)</f>
        <v>0</v>
      </c>
      <c r="BC333">
        <f>IF(Source!BI97=2,AH333, 0)</f>
        <v>2933.05</v>
      </c>
      <c r="BD333">
        <f>IF(Source!BI97=2,AJ333, 0)</f>
        <v>1542.12</v>
      </c>
    </row>
    <row r="335" spans="1:56" ht="14.25">
      <c r="A335" s="57"/>
      <c r="B335" s="58">
        <v>1</v>
      </c>
      <c r="C335" s="57" t="s">
        <v>794</v>
      </c>
      <c r="D335" s="42"/>
      <c r="E335" s="38"/>
      <c r="F335" s="38"/>
      <c r="G335" s="38"/>
      <c r="H335" s="35">
        <f>Source!AO97</f>
        <v>12.9</v>
      </c>
      <c r="I335" s="43">
        <f>ROUND(1.35,7)</f>
        <v>1.35</v>
      </c>
      <c r="J335" s="35">
        <f>ROUND(Source!AF97*Source!I97, 2)</f>
        <v>104.52</v>
      </c>
      <c r="K335" s="43">
        <f>IF(Source!BA97&lt;&gt; 0, Source!BA97, 1)</f>
        <v>28.93</v>
      </c>
      <c r="L335" s="35">
        <f>Source!HJ97</f>
        <v>3023.76</v>
      </c>
    </row>
    <row r="336" spans="1:56" ht="14.25">
      <c r="A336" s="57"/>
      <c r="B336" s="58">
        <v>3</v>
      </c>
      <c r="C336" s="57" t="s">
        <v>805</v>
      </c>
      <c r="D336" s="42"/>
      <c r="E336" s="38"/>
      <c r="F336" s="38"/>
      <c r="G336" s="38"/>
      <c r="H336" s="35">
        <f>Source!AM97</f>
        <v>0.28000000000000003</v>
      </c>
      <c r="I336" s="43">
        <f>ROUND(1.35,7)</f>
        <v>1.35</v>
      </c>
      <c r="J336" s="35">
        <f>ROUND(Source!AD97*Source!I97, 2)</f>
        <v>2.2799999999999998</v>
      </c>
      <c r="K336" s="43"/>
      <c r="L336" s="35"/>
    </row>
    <row r="337" spans="1:95" ht="14.25">
      <c r="A337" s="57"/>
      <c r="B337" s="58">
        <v>4</v>
      </c>
      <c r="C337" s="57" t="s">
        <v>813</v>
      </c>
      <c r="D337" s="42"/>
      <c r="E337" s="38"/>
      <c r="F337" s="38"/>
      <c r="G337" s="38"/>
      <c r="H337" s="35">
        <f>Source!AL97</f>
        <v>3.57</v>
      </c>
      <c r="I337" s="43"/>
      <c r="J337" s="35">
        <f>ROUND(Source!AC97*Source!I97, 2)</f>
        <v>21.42</v>
      </c>
      <c r="K337" s="43"/>
      <c r="L337" s="35"/>
    </row>
    <row r="338" spans="1:95" ht="14.25">
      <c r="A338" s="57"/>
      <c r="B338" s="57"/>
      <c r="C338" s="59" t="s">
        <v>795</v>
      </c>
      <c r="D338" s="44" t="s">
        <v>796</v>
      </c>
      <c r="E338" s="45">
        <f>Source!AQ97</f>
        <v>1.23</v>
      </c>
      <c r="F338" s="45">
        <f>ROUND(1.35,7)</f>
        <v>1.35</v>
      </c>
      <c r="G338" s="45">
        <f>ROUND(Source!U97, 7)</f>
        <v>9.9629999999999992</v>
      </c>
      <c r="H338" s="46"/>
      <c r="I338" s="47"/>
      <c r="J338" s="46"/>
      <c r="K338" s="47"/>
      <c r="L338" s="46"/>
    </row>
    <row r="339" spans="1:95" ht="14.25">
      <c r="A339" s="57"/>
      <c r="B339" s="57"/>
      <c r="C339" s="57" t="s">
        <v>797</v>
      </c>
      <c r="D339" s="42"/>
      <c r="E339" s="38"/>
      <c r="F339" s="38"/>
      <c r="G339" s="38"/>
      <c r="H339" s="35">
        <f>H335+H336+H337</f>
        <v>16.75</v>
      </c>
      <c r="I339" s="43"/>
      <c r="J339" s="35">
        <f>J335+J336+J337</f>
        <v>128.22</v>
      </c>
      <c r="K339" s="43"/>
      <c r="L339" s="35"/>
    </row>
    <row r="340" spans="1:95" ht="14.25">
      <c r="A340" s="57"/>
      <c r="B340" s="57"/>
      <c r="C340" s="57" t="s">
        <v>798</v>
      </c>
      <c r="D340" s="42"/>
      <c r="E340" s="38"/>
      <c r="F340" s="38"/>
      <c r="G340" s="38"/>
      <c r="H340" s="35"/>
      <c r="I340" s="43"/>
      <c r="J340" s="35">
        <f>SUM(Q333:Q343)+SUM(V333:V343)+SUM(X333:X343)+SUM(Y333:Y343)</f>
        <v>104.52</v>
      </c>
      <c r="K340" s="43"/>
      <c r="L340" s="35">
        <f>SUM(U333:U343)+SUM(W333:W343)+SUM(Z333:Z343)+SUM(AA333:AA343)</f>
        <v>3023.76</v>
      </c>
    </row>
    <row r="341" spans="1:95" ht="28.5">
      <c r="A341" s="57"/>
      <c r="B341" s="57" t="s">
        <v>162</v>
      </c>
      <c r="C341" s="57" t="s">
        <v>836</v>
      </c>
      <c r="D341" s="42" t="s">
        <v>800</v>
      </c>
      <c r="E341" s="38">
        <f>Source!BZ97</f>
        <v>97</v>
      </c>
      <c r="F341" s="38"/>
      <c r="G341" s="38">
        <f>Source!AT97</f>
        <v>97</v>
      </c>
      <c r="H341" s="35"/>
      <c r="I341" s="43"/>
      <c r="J341" s="35">
        <f>SUM(AG333:AG343)</f>
        <v>101.38</v>
      </c>
      <c r="K341" s="43"/>
      <c r="L341" s="35">
        <f>SUM(AH333:AH343)</f>
        <v>2933.05</v>
      </c>
    </row>
    <row r="342" spans="1:95" ht="28.5">
      <c r="A342" s="59"/>
      <c r="B342" s="59" t="s">
        <v>163</v>
      </c>
      <c r="C342" s="59" t="s">
        <v>837</v>
      </c>
      <c r="D342" s="44" t="s">
        <v>800</v>
      </c>
      <c r="E342" s="45">
        <f>Source!CA97</f>
        <v>51</v>
      </c>
      <c r="F342" s="45"/>
      <c r="G342" s="45">
        <f>Source!AU97</f>
        <v>51</v>
      </c>
      <c r="H342" s="46"/>
      <c r="I342" s="47"/>
      <c r="J342" s="46">
        <f>SUM(AI333:AI343)</f>
        <v>53.31</v>
      </c>
      <c r="K342" s="47"/>
      <c r="L342" s="46">
        <f>SUM(AJ333:AJ343)</f>
        <v>1542.12</v>
      </c>
    </row>
    <row r="343" spans="1:95" ht="15">
      <c r="C343" s="108" t="s">
        <v>802</v>
      </c>
      <c r="D343" s="108"/>
      <c r="E343" s="108"/>
      <c r="F343" s="108"/>
      <c r="G343" s="108"/>
      <c r="H343" s="108"/>
      <c r="I343" s="108">
        <f>J335+J336+J337+J341+J342</f>
        <v>282.90999999999997</v>
      </c>
      <c r="J343" s="108"/>
      <c r="O343" s="33">
        <f>I343</f>
        <v>282.90999999999997</v>
      </c>
      <c r="P343">
        <f>K343</f>
        <v>0</v>
      </c>
      <c r="Q343" s="33">
        <f>J335</f>
        <v>104.52</v>
      </c>
      <c r="R343" s="33">
        <f>J335</f>
        <v>104.52</v>
      </c>
      <c r="U343" s="33">
        <f>L335</f>
        <v>3023.76</v>
      </c>
      <c r="X343">
        <f>0</f>
        <v>0</v>
      </c>
      <c r="Z343">
        <f>0</f>
        <v>0</v>
      </c>
      <c r="AB343" s="33">
        <f>J336</f>
        <v>2.2799999999999998</v>
      </c>
      <c r="AD343" s="33">
        <f>L336</f>
        <v>0</v>
      </c>
      <c r="AF343" s="33">
        <f>J337</f>
        <v>21.42</v>
      </c>
      <c r="AN343">
        <f>IF(Source!BI97&lt;=1,J335+J336+J337+J341+J342, 0)</f>
        <v>0</v>
      </c>
      <c r="AO343">
        <f>IF(Source!BI97&lt;=1,J337, 0)</f>
        <v>0</v>
      </c>
      <c r="AP343">
        <f>IF(Source!BI97&lt;=1,J336, 0)</f>
        <v>0</v>
      </c>
      <c r="AQ343">
        <f>IF(Source!BI97&lt;=1,J335, 0)</f>
        <v>0</v>
      </c>
      <c r="AX343">
        <f>IF(Source!BI97=2,J335+J336+J337+J341+J342, 0)</f>
        <v>282.90999999999997</v>
      </c>
      <c r="AY343">
        <f>IF(Source!BI97=2,J337, 0)</f>
        <v>21.42</v>
      </c>
      <c r="AZ343">
        <f>IF(Source!BI97=2,J336, 0)</f>
        <v>2.2799999999999998</v>
      </c>
      <c r="BA343">
        <f>IF(Source!BI97=2,J335, 0)</f>
        <v>104.52</v>
      </c>
    </row>
    <row r="345" spans="1:95" ht="15">
      <c r="A345" s="49"/>
      <c r="B345" s="50"/>
      <c r="C345" s="107" t="s">
        <v>820</v>
      </c>
      <c r="D345" s="107"/>
      <c r="E345" s="107"/>
      <c r="F345" s="107"/>
      <c r="G345" s="107"/>
      <c r="H345" s="107"/>
      <c r="I345" s="51"/>
      <c r="J345" s="52">
        <f>J347+J348+J349+J350</f>
        <v>16929.14</v>
      </c>
      <c r="K345" s="52"/>
      <c r="L345" s="52"/>
      <c r="CQ345" s="61" t="s">
        <v>820</v>
      </c>
    </row>
    <row r="346" spans="1:95" ht="14.25">
      <c r="A346" s="53"/>
      <c r="B346" s="54"/>
      <c r="C346" s="105" t="s">
        <v>821</v>
      </c>
      <c r="D346" s="106"/>
      <c r="E346" s="106"/>
      <c r="F346" s="106"/>
      <c r="G346" s="106"/>
      <c r="H346" s="106"/>
      <c r="I346" s="55"/>
      <c r="J346" s="56"/>
      <c r="K346" s="56"/>
      <c r="L346" s="56"/>
    </row>
    <row r="347" spans="1:95" ht="14.25">
      <c r="A347" s="53"/>
      <c r="B347" s="54"/>
      <c r="C347" s="106" t="s">
        <v>822</v>
      </c>
      <c r="D347" s="106"/>
      <c r="E347" s="106"/>
      <c r="F347" s="106"/>
      <c r="G347" s="106"/>
      <c r="H347" s="106"/>
      <c r="I347" s="55"/>
      <c r="J347" s="56">
        <f>SUM(Q164:Q343)</f>
        <v>4467.6600000000008</v>
      </c>
      <c r="K347" s="56"/>
      <c r="L347" s="56"/>
    </row>
    <row r="348" spans="1:95" ht="14.25">
      <c r="A348" s="53"/>
      <c r="B348" s="54"/>
      <c r="C348" s="106" t="s">
        <v>823</v>
      </c>
      <c r="D348" s="106"/>
      <c r="E348" s="106"/>
      <c r="F348" s="106"/>
      <c r="G348" s="106"/>
      <c r="H348" s="106"/>
      <c r="I348" s="55"/>
      <c r="J348" s="56">
        <f>SUM(AB164:AB343)</f>
        <v>11381.18</v>
      </c>
      <c r="K348" s="56"/>
      <c r="L348" s="56"/>
    </row>
    <row r="349" spans="1:95" ht="14.25">
      <c r="A349" s="53"/>
      <c r="B349" s="54"/>
      <c r="C349" s="106" t="s">
        <v>824</v>
      </c>
      <c r="D349" s="106"/>
      <c r="E349" s="106"/>
      <c r="F349" s="106"/>
      <c r="G349" s="106"/>
      <c r="H349" s="106"/>
      <c r="I349" s="55"/>
      <c r="J349" s="56">
        <f>Source!F102-J354</f>
        <v>1080.3</v>
      </c>
      <c r="K349" s="56"/>
      <c r="L349" s="56"/>
    </row>
    <row r="350" spans="1:95" ht="14.25" hidden="1" customHeight="1">
      <c r="A350" s="53"/>
      <c r="B350" s="54"/>
      <c r="C350" s="106" t="s">
        <v>825</v>
      </c>
      <c r="D350" s="106"/>
      <c r="E350" s="106"/>
      <c r="F350" s="106"/>
      <c r="G350" s="106"/>
      <c r="H350" s="106"/>
      <c r="I350" s="55"/>
      <c r="J350" s="56">
        <f>Source!F124</f>
        <v>0</v>
      </c>
      <c r="K350" s="56"/>
      <c r="L350" s="56"/>
    </row>
    <row r="351" spans="1:95" ht="14.25">
      <c r="A351" s="53"/>
      <c r="B351" s="54"/>
      <c r="C351" s="106" t="s">
        <v>826</v>
      </c>
      <c r="D351" s="106"/>
      <c r="E351" s="106"/>
      <c r="F351" s="106"/>
      <c r="G351" s="106"/>
      <c r="H351" s="106"/>
      <c r="I351" s="55"/>
      <c r="J351" s="56">
        <f>SUM(Q164:Q343)+SUM(X164:X343)</f>
        <v>5000.8200000000006</v>
      </c>
      <c r="K351" s="56"/>
      <c r="L351" s="56"/>
    </row>
    <row r="352" spans="1:95" ht="14.25">
      <c r="A352" s="53"/>
      <c r="B352" s="54"/>
      <c r="C352" s="106" t="s">
        <v>827</v>
      </c>
      <c r="D352" s="106"/>
      <c r="E352" s="106"/>
      <c r="F352" s="106"/>
      <c r="G352" s="106"/>
      <c r="H352" s="106"/>
      <c r="I352" s="55"/>
      <c r="J352" s="56">
        <f>Source!F125</f>
        <v>4850.78</v>
      </c>
      <c r="K352" s="56"/>
      <c r="L352" s="56"/>
    </row>
    <row r="353" spans="1:56" ht="14.25">
      <c r="A353" s="53"/>
      <c r="B353" s="54"/>
      <c r="C353" s="106" t="s">
        <v>828</v>
      </c>
      <c r="D353" s="106"/>
      <c r="E353" s="106"/>
      <c r="F353" s="106"/>
      <c r="G353" s="106"/>
      <c r="H353" s="106"/>
      <c r="I353" s="55"/>
      <c r="J353" s="56">
        <f>Source!F126</f>
        <v>2550.42</v>
      </c>
      <c r="K353" s="56"/>
      <c r="L353" s="56"/>
    </row>
    <row r="354" spans="1:56" ht="14.25" hidden="1" customHeight="1">
      <c r="A354" s="53"/>
      <c r="B354" s="54"/>
      <c r="C354" s="106" t="s">
        <v>829</v>
      </c>
      <c r="D354" s="106"/>
      <c r="E354" s="106"/>
      <c r="F354" s="106"/>
      <c r="G354" s="106"/>
      <c r="H354" s="106"/>
      <c r="I354" s="55"/>
      <c r="J354" s="56">
        <f>Source!F108</f>
        <v>0</v>
      </c>
      <c r="K354" s="56"/>
      <c r="L354" s="56"/>
    </row>
    <row r="355" spans="1:56" ht="14.25" hidden="1" customHeight="1">
      <c r="A355" s="53"/>
      <c r="B355" s="54"/>
      <c r="C355" s="106" t="s">
        <v>830</v>
      </c>
      <c r="D355" s="106"/>
      <c r="E355" s="106"/>
      <c r="F355" s="106"/>
      <c r="G355" s="106"/>
      <c r="H355" s="106"/>
      <c r="I355" s="55"/>
      <c r="J355" s="56">
        <f>Source!F118</f>
        <v>0</v>
      </c>
      <c r="K355" s="56"/>
      <c r="L355" s="56"/>
    </row>
    <row r="356" spans="1:56" ht="15">
      <c r="A356" s="49"/>
      <c r="B356" s="50"/>
      <c r="C356" s="107" t="s">
        <v>831</v>
      </c>
      <c r="D356" s="107"/>
      <c r="E356" s="107"/>
      <c r="F356" s="107"/>
      <c r="G356" s="107"/>
      <c r="H356" s="107"/>
      <c r="I356" s="51"/>
      <c r="J356" s="52">
        <f>Source!F127</f>
        <v>24330.34</v>
      </c>
      <c r="K356" s="52"/>
      <c r="L356" s="52"/>
    </row>
    <row r="357" spans="1:56" ht="14.25" hidden="1" customHeight="1">
      <c r="A357" s="53"/>
      <c r="B357" s="54"/>
      <c r="C357" s="105" t="s">
        <v>821</v>
      </c>
      <c r="D357" s="106"/>
      <c r="E357" s="106"/>
      <c r="F357" s="106"/>
      <c r="G357" s="106"/>
      <c r="H357" s="106"/>
      <c r="I357" s="55"/>
      <c r="J357" s="56"/>
      <c r="K357" s="56"/>
      <c r="L357" s="56"/>
    </row>
    <row r="358" spans="1:56" ht="14.25" hidden="1" customHeight="1">
      <c r="A358" s="53"/>
      <c r="B358" s="54"/>
      <c r="C358" s="106" t="s">
        <v>832</v>
      </c>
      <c r="D358" s="106"/>
      <c r="E358" s="106"/>
      <c r="F358" s="106"/>
      <c r="G358" s="106"/>
      <c r="H358" s="106"/>
      <c r="I358" s="55"/>
      <c r="J358" s="56"/>
      <c r="K358" s="56"/>
      <c r="L358" s="56">
        <f>SUM(BS164:BS343)</f>
        <v>0</v>
      </c>
    </row>
    <row r="359" spans="1:56" ht="14.25" hidden="1" customHeight="1">
      <c r="A359" s="53"/>
      <c r="B359" s="54"/>
      <c r="C359" s="106" t="s">
        <v>833</v>
      </c>
      <c r="D359" s="106"/>
      <c r="E359" s="106"/>
      <c r="F359" s="106"/>
      <c r="G359" s="106"/>
      <c r="H359" s="106"/>
      <c r="I359" s="55"/>
      <c r="J359" s="56"/>
      <c r="K359" s="56"/>
      <c r="L359" s="56">
        <f>SUM(BT164:BT343)</f>
        <v>0</v>
      </c>
    </row>
    <row r="360" spans="1:56" ht="14.25">
      <c r="C360" s="104" t="str">
        <f>Source!H128</f>
        <v>Итого прямые затраты</v>
      </c>
      <c r="D360" s="104"/>
      <c r="E360" s="104"/>
      <c r="F360" s="104"/>
      <c r="G360" s="104"/>
      <c r="H360" s="104"/>
      <c r="I360" s="104"/>
      <c r="J360" s="34">
        <f>IF(Source!W128=0, "", Source!W128)</f>
        <v>16929</v>
      </c>
    </row>
    <row r="361" spans="1:56" ht="14.25">
      <c r="C361" s="104" t="str">
        <f>Source!H129</f>
        <v>Накладные расходы</v>
      </c>
      <c r="D361" s="104"/>
      <c r="E361" s="104"/>
      <c r="F361" s="104"/>
      <c r="G361" s="104"/>
      <c r="H361" s="104"/>
      <c r="I361" s="104"/>
      <c r="J361" s="34">
        <f>IF(Source!W129=0, "", Source!W129)</f>
        <v>4851</v>
      </c>
    </row>
    <row r="362" spans="1:56" ht="14.25">
      <c r="C362" s="104" t="str">
        <f>Source!H130</f>
        <v>Сметная прибыль</v>
      </c>
      <c r="D362" s="104"/>
      <c r="E362" s="104"/>
      <c r="F362" s="104"/>
      <c r="G362" s="104"/>
      <c r="H362" s="104"/>
      <c r="I362" s="104"/>
      <c r="J362" s="34">
        <f>IF(Source!W130=0, "", Source!W130)</f>
        <v>2550</v>
      </c>
    </row>
    <row r="363" spans="1:56" ht="14.25">
      <c r="C363" s="104" t="str">
        <f>Source!H131</f>
        <v>Итого</v>
      </c>
      <c r="D363" s="104"/>
      <c r="E363" s="104"/>
      <c r="F363" s="104"/>
      <c r="G363" s="104"/>
      <c r="H363" s="104"/>
      <c r="I363" s="104"/>
      <c r="J363" s="35">
        <f>IF(Source!W131=0, "", Source!W131)</f>
        <v>24330</v>
      </c>
    </row>
    <row r="364" spans="1:56" ht="14.25">
      <c r="C364" s="104" t="str">
        <f>Source!H133</f>
        <v>В том числе монтажные работы</v>
      </c>
      <c r="D364" s="104"/>
      <c r="E364" s="104"/>
      <c r="F364" s="104"/>
      <c r="G364" s="104"/>
      <c r="H364" s="104"/>
      <c r="I364" s="104"/>
      <c r="J364" s="35">
        <f>IF(Source!W133=0, "", Source!W133)</f>
        <v>24330.34</v>
      </c>
    </row>
    <row r="366" spans="1:56" ht="16.5">
      <c r="A366" s="109" t="s">
        <v>852</v>
      </c>
      <c r="B366" s="109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</row>
    <row r="367" spans="1:56" ht="71.25">
      <c r="A367" s="57">
        <v>26</v>
      </c>
      <c r="B367" s="57" t="str">
        <f>Source!F142</f>
        <v>04-01-076-1</v>
      </c>
      <c r="C367" s="57" t="str">
        <f>Source!G142</f>
        <v>Бурение пилотной скважины машиной горизонтального бурения прессово-шнековой с усилием продавливания 203 ТС (2000кН) фирмы SHMIDT, KRANZ-GRUPPE</v>
      </c>
      <c r="D367" s="42" t="str">
        <f>Source!H142</f>
        <v>100 м бурения скважины</v>
      </c>
      <c r="E367" s="38">
        <f>Source!K142</f>
        <v>1.1200000000000001</v>
      </c>
      <c r="F367" s="38"/>
      <c r="G367" s="38">
        <f>Source!I142</f>
        <v>1.1200000000000001</v>
      </c>
      <c r="H367" s="35"/>
      <c r="I367" s="43"/>
      <c r="J367" s="35"/>
      <c r="K367" s="43"/>
      <c r="L367" s="35"/>
      <c r="AG367">
        <f>Source!X142</f>
        <v>289.37</v>
      </c>
      <c r="AH367">
        <f>Source!HK142</f>
        <v>8371.4599999999991</v>
      </c>
      <c r="AI367">
        <f>Source!Y142</f>
        <v>122.85</v>
      </c>
      <c r="AJ367">
        <f>Source!HL142</f>
        <v>3553.92</v>
      </c>
      <c r="AS367">
        <f>IF(Source!BI142&lt;=1,AH367, 0)</f>
        <v>8371.4599999999991</v>
      </c>
      <c r="AT367">
        <f>IF(Source!BI142&lt;=1,AJ367, 0)</f>
        <v>3553.92</v>
      </c>
      <c r="BC367">
        <f>IF(Source!BI142=2,AH367, 0)</f>
        <v>0</v>
      </c>
      <c r="BD367">
        <f>IF(Source!BI142=2,AJ367, 0)</f>
        <v>0</v>
      </c>
    </row>
    <row r="369" spans="1:56">
      <c r="C369" s="32" t="str">
        <f>"Объем: "&amp;Source!K142&amp;"=112/"&amp;"100"</f>
        <v>Объем: 1,12=112/100</v>
      </c>
    </row>
    <row r="370" spans="1:56" ht="14.25">
      <c r="A370" s="57"/>
      <c r="B370" s="58">
        <v>1</v>
      </c>
      <c r="C370" s="57" t="s">
        <v>794</v>
      </c>
      <c r="D370" s="42"/>
      <c r="E370" s="38"/>
      <c r="F370" s="38"/>
      <c r="G370" s="38"/>
      <c r="H370" s="35">
        <f>Source!AO142</f>
        <v>100.4</v>
      </c>
      <c r="I370" s="43"/>
      <c r="J370" s="35">
        <f>ROUND(Source!AF142*Source!I142, 2)</f>
        <v>112.45</v>
      </c>
      <c r="K370" s="43">
        <f>IF(Source!BA142&lt;&gt; 0, Source!BA142, 1)</f>
        <v>28.93</v>
      </c>
      <c r="L370" s="35">
        <f>Source!HJ142</f>
        <v>3253.18</v>
      </c>
    </row>
    <row r="371" spans="1:56" ht="14.25">
      <c r="A371" s="57"/>
      <c r="B371" s="58">
        <v>3</v>
      </c>
      <c r="C371" s="57" t="s">
        <v>805</v>
      </c>
      <c r="D371" s="42"/>
      <c r="E371" s="38"/>
      <c r="F371" s="38"/>
      <c r="G371" s="38"/>
      <c r="H371" s="35">
        <f>Source!AM142</f>
        <v>12707.04</v>
      </c>
      <c r="I371" s="43"/>
      <c r="J371" s="35">
        <f>ROUND(Source!AD142*Source!I142, 2)</f>
        <v>14231.88</v>
      </c>
      <c r="K371" s="43"/>
      <c r="L371" s="35"/>
    </row>
    <row r="372" spans="1:56" ht="14.25">
      <c r="A372" s="57"/>
      <c r="B372" s="58">
        <v>2</v>
      </c>
      <c r="C372" s="57" t="s">
        <v>806</v>
      </c>
      <c r="D372" s="42"/>
      <c r="E372" s="38"/>
      <c r="F372" s="38"/>
      <c r="G372" s="38"/>
      <c r="H372" s="35">
        <f>Source!AN142</f>
        <v>143.34</v>
      </c>
      <c r="I372" s="43"/>
      <c r="J372" s="48">
        <f>ROUND(Source!AE142*Source!I142, 2)</f>
        <v>160.54</v>
      </c>
      <c r="K372" s="43">
        <f>IF(Source!BS142&lt;&gt; 0, Source!BS142, 1)</f>
        <v>28.93</v>
      </c>
      <c r="L372" s="48">
        <f>Source!HI142</f>
        <v>4644.42</v>
      </c>
    </row>
    <row r="373" spans="1:56" ht="14.25">
      <c r="A373" s="57"/>
      <c r="B373" s="58">
        <v>4</v>
      </c>
      <c r="C373" s="57" t="s">
        <v>813</v>
      </c>
      <c r="D373" s="42"/>
      <c r="E373" s="38"/>
      <c r="F373" s="38"/>
      <c r="G373" s="38"/>
      <c r="H373" s="35">
        <f>Source!AL142</f>
        <v>9.64</v>
      </c>
      <c r="I373" s="43"/>
      <c r="J373" s="35">
        <f>ROUND(Source!AC142*Source!I142, 2)</f>
        <v>10.8</v>
      </c>
      <c r="K373" s="43"/>
      <c r="L373" s="35"/>
    </row>
    <row r="374" spans="1:56" ht="14.25">
      <c r="A374" s="57"/>
      <c r="B374" s="57"/>
      <c r="C374" s="57" t="s">
        <v>795</v>
      </c>
      <c r="D374" s="42" t="s">
        <v>796</v>
      </c>
      <c r="E374" s="38">
        <f>Source!AQ142</f>
        <v>9.9700000000000006</v>
      </c>
      <c r="F374" s="38"/>
      <c r="G374" s="38">
        <f>ROUND(Source!U142, 7)</f>
        <v>11.166399999999999</v>
      </c>
      <c r="H374" s="35"/>
      <c r="I374" s="43"/>
      <c r="J374" s="35"/>
      <c r="K374" s="43"/>
      <c r="L374" s="35"/>
    </row>
    <row r="375" spans="1:56" ht="14.25">
      <c r="A375" s="57"/>
      <c r="B375" s="57"/>
      <c r="C375" s="59" t="s">
        <v>807</v>
      </c>
      <c r="D375" s="44" t="s">
        <v>796</v>
      </c>
      <c r="E375" s="45">
        <f>Source!AR142</f>
        <v>10.01</v>
      </c>
      <c r="F375" s="45"/>
      <c r="G375" s="45">
        <f>ROUND(Source!V142, 7)</f>
        <v>11.2112</v>
      </c>
      <c r="H375" s="46"/>
      <c r="I375" s="47"/>
      <c r="J375" s="46"/>
      <c r="K375" s="47"/>
      <c r="L375" s="46"/>
    </row>
    <row r="376" spans="1:56" ht="14.25">
      <c r="A376" s="57"/>
      <c r="B376" s="57"/>
      <c r="C376" s="57" t="s">
        <v>797</v>
      </c>
      <c r="D376" s="42"/>
      <c r="E376" s="38"/>
      <c r="F376" s="38"/>
      <c r="G376" s="38"/>
      <c r="H376" s="35">
        <f>H370+H371+H373</f>
        <v>12817.08</v>
      </c>
      <c r="I376" s="43"/>
      <c r="J376" s="35">
        <f>J370+J371+J373</f>
        <v>14355.13</v>
      </c>
      <c r="K376" s="43"/>
      <c r="L376" s="35"/>
    </row>
    <row r="377" spans="1:56" ht="14.25">
      <c r="A377" s="57"/>
      <c r="B377" s="57"/>
      <c r="C377" s="57" t="s">
        <v>798</v>
      </c>
      <c r="D377" s="42"/>
      <c r="E377" s="38"/>
      <c r="F377" s="38"/>
      <c r="G377" s="38"/>
      <c r="H377" s="35"/>
      <c r="I377" s="43"/>
      <c r="J377" s="35">
        <f>SUM(Q367:Q380)+SUM(V367:V380)+SUM(X367:X380)+SUM(Y367:Y380)</f>
        <v>272.99</v>
      </c>
      <c r="K377" s="43"/>
      <c r="L377" s="35">
        <f>SUM(U367:U380)+SUM(W367:W380)+SUM(Z367:Z380)+SUM(AA367:AA380)</f>
        <v>7897.6</v>
      </c>
    </row>
    <row r="378" spans="1:56" ht="14.25">
      <c r="A378" s="57"/>
      <c r="B378" s="57" t="s">
        <v>236</v>
      </c>
      <c r="C378" s="57" t="s">
        <v>853</v>
      </c>
      <c r="D378" s="42" t="s">
        <v>800</v>
      </c>
      <c r="E378" s="38">
        <f>Source!BZ142</f>
        <v>106</v>
      </c>
      <c r="F378" s="38"/>
      <c r="G378" s="38">
        <f>Source!AT142</f>
        <v>106</v>
      </c>
      <c r="H378" s="35"/>
      <c r="I378" s="43"/>
      <c r="J378" s="35">
        <f>SUM(AG367:AG380)</f>
        <v>289.37</v>
      </c>
      <c r="K378" s="43"/>
      <c r="L378" s="35">
        <f>SUM(AH367:AH380)</f>
        <v>8371.4599999999991</v>
      </c>
    </row>
    <row r="379" spans="1:56" ht="14.25">
      <c r="A379" s="59"/>
      <c r="B379" s="59" t="s">
        <v>237</v>
      </c>
      <c r="C379" s="59" t="s">
        <v>854</v>
      </c>
      <c r="D379" s="44" t="s">
        <v>800</v>
      </c>
      <c r="E379" s="45">
        <f>Source!CA142</f>
        <v>45</v>
      </c>
      <c r="F379" s="45"/>
      <c r="G379" s="45">
        <f>Source!AU142</f>
        <v>45</v>
      </c>
      <c r="H379" s="46"/>
      <c r="I379" s="47"/>
      <c r="J379" s="46">
        <f>SUM(AI367:AI380)</f>
        <v>122.85</v>
      </c>
      <c r="K379" s="47"/>
      <c r="L379" s="46">
        <f>SUM(AJ367:AJ380)</f>
        <v>3553.92</v>
      </c>
    </row>
    <row r="380" spans="1:56" ht="15">
      <c r="C380" s="108" t="s">
        <v>802</v>
      </c>
      <c r="D380" s="108"/>
      <c r="E380" s="108"/>
      <c r="F380" s="108"/>
      <c r="G380" s="108"/>
      <c r="H380" s="108"/>
      <c r="I380" s="108">
        <f>J370+J371+J373+J378+J379</f>
        <v>14767.35</v>
      </c>
      <c r="J380" s="108"/>
      <c r="O380" s="33">
        <f>I380</f>
        <v>14767.35</v>
      </c>
      <c r="P380">
        <f>K380</f>
        <v>0</v>
      </c>
      <c r="Q380" s="33">
        <f>J370</f>
        <v>112.45</v>
      </c>
      <c r="R380" s="33">
        <f>J370</f>
        <v>112.45</v>
      </c>
      <c r="U380" s="33">
        <f>L370</f>
        <v>3253.18</v>
      </c>
      <c r="X380" s="33">
        <f>J372</f>
        <v>160.54</v>
      </c>
      <c r="Z380" s="33">
        <f>L372</f>
        <v>4644.42</v>
      </c>
      <c r="AB380" s="33">
        <f>J371</f>
        <v>14231.88</v>
      </c>
      <c r="AD380" s="33">
        <f>L371</f>
        <v>0</v>
      </c>
      <c r="AF380" s="33">
        <f>J373</f>
        <v>10.8</v>
      </c>
      <c r="AN380">
        <f>IF(Source!BI142&lt;=1,J370+J371+J373+J378+J379, 0)</f>
        <v>14767.35</v>
      </c>
      <c r="AO380">
        <f>IF(Source!BI142&lt;=1,J373, 0)</f>
        <v>10.8</v>
      </c>
      <c r="AP380">
        <f>IF(Source!BI142&lt;=1,J371, 0)</f>
        <v>14231.88</v>
      </c>
      <c r="AQ380">
        <f>IF(Source!BI142&lt;=1,J370, 0)</f>
        <v>112.45</v>
      </c>
      <c r="AX380">
        <f>IF(Source!BI142=2,J370+J371+J373+J378+J379, 0)</f>
        <v>0</v>
      </c>
      <c r="AY380">
        <f>IF(Source!BI142=2,J373, 0)</f>
        <v>0</v>
      </c>
      <c r="AZ380">
        <f>IF(Source!BI142=2,J371, 0)</f>
        <v>0</v>
      </c>
      <c r="BA380">
        <f>IF(Source!BI142=2,J370, 0)</f>
        <v>0</v>
      </c>
    </row>
    <row r="381" spans="1:56" ht="233.25">
      <c r="A381" s="57">
        <v>27</v>
      </c>
      <c r="B381" s="57" t="str">
        <f>Source!F143</f>
        <v>04-01-077-9</v>
      </c>
      <c r="C381" s="57" t="s">
        <v>855</v>
      </c>
      <c r="D381" s="42" t="str">
        <f>Source!H143</f>
        <v>100 м бурения скважины</v>
      </c>
      <c r="E381" s="38">
        <f>Source!K143</f>
        <v>1.1200000000000001</v>
      </c>
      <c r="F381" s="38"/>
      <c r="G381" s="38">
        <f>Source!I143</f>
        <v>1.1200000000000001</v>
      </c>
      <c r="H381" s="35"/>
      <c r="I381" s="43"/>
      <c r="J381" s="35"/>
      <c r="K381" s="43"/>
      <c r="L381" s="35"/>
      <c r="AG381">
        <f>Source!X143</f>
        <v>1025.1199999999999</v>
      </c>
      <c r="AH381">
        <f>Source!HK143</f>
        <v>29656.58</v>
      </c>
      <c r="AI381">
        <f>Source!Y143</f>
        <v>435.19</v>
      </c>
      <c r="AJ381">
        <f>Source!HL143</f>
        <v>12590.06</v>
      </c>
      <c r="AS381">
        <f>IF(Source!BI143&lt;=1,AH381, 0)</f>
        <v>29656.58</v>
      </c>
      <c r="AT381">
        <f>IF(Source!BI143&lt;=1,AJ381, 0)</f>
        <v>12590.06</v>
      </c>
      <c r="BC381">
        <f>IF(Source!BI143=2,AH381, 0)</f>
        <v>0</v>
      </c>
      <c r="BD381">
        <f>IF(Source!BI143=2,AJ381, 0)</f>
        <v>0</v>
      </c>
    </row>
    <row r="383" spans="1:56">
      <c r="C383" s="32" t="str">
        <f>"Объем: "&amp;Source!K143&amp;"=112/"&amp;"100"</f>
        <v>Объем: 1,12=112/100</v>
      </c>
    </row>
    <row r="384" spans="1:56" ht="14.25">
      <c r="A384" s="57"/>
      <c r="B384" s="58">
        <v>1</v>
      </c>
      <c r="C384" s="57" t="s">
        <v>794</v>
      </c>
      <c r="D384" s="42"/>
      <c r="E384" s="38"/>
      <c r="F384" s="38"/>
      <c r="G384" s="38"/>
      <c r="H384" s="35">
        <f>Source!AO143</f>
        <v>818.68</v>
      </c>
      <c r="I384" s="43">
        <f>ROUND(0.4923,7)</f>
        <v>0.49230000000000002</v>
      </c>
      <c r="J384" s="35">
        <f>ROUND(Source!AF143*Source!I143, 2)</f>
        <v>451.4</v>
      </c>
      <c r="K384" s="43">
        <f>IF(Source!BA143&lt;&gt; 0, Source!BA143, 1)</f>
        <v>28.93</v>
      </c>
      <c r="L384" s="35">
        <f>Source!HJ143</f>
        <v>13059</v>
      </c>
    </row>
    <row r="385" spans="1:95" ht="14.25">
      <c r="A385" s="57"/>
      <c r="B385" s="58">
        <v>3</v>
      </c>
      <c r="C385" s="57" t="s">
        <v>805</v>
      </c>
      <c r="D385" s="42"/>
      <c r="E385" s="38"/>
      <c r="F385" s="38"/>
      <c r="G385" s="38"/>
      <c r="H385" s="35">
        <f>Source!AM143</f>
        <v>52399.09</v>
      </c>
      <c r="I385" s="43">
        <f>ROUND(0.4923,7)</f>
        <v>0.49230000000000002</v>
      </c>
      <c r="J385" s="35">
        <f>ROUND(Source!AD143*Source!I143, 2)</f>
        <v>28891.599999999999</v>
      </c>
      <c r="K385" s="43"/>
      <c r="L385" s="35"/>
    </row>
    <row r="386" spans="1:95" ht="14.25">
      <c r="A386" s="57"/>
      <c r="B386" s="58">
        <v>2</v>
      </c>
      <c r="C386" s="57" t="s">
        <v>806</v>
      </c>
      <c r="D386" s="42"/>
      <c r="E386" s="38"/>
      <c r="F386" s="38"/>
      <c r="G386" s="38"/>
      <c r="H386" s="35">
        <f>Source!AN143</f>
        <v>935.29</v>
      </c>
      <c r="I386" s="43">
        <f>ROUND(0.4923,7)</f>
        <v>0.49230000000000002</v>
      </c>
      <c r="J386" s="48">
        <f>ROUND(Source!AE143*Source!I143, 2)</f>
        <v>515.69000000000005</v>
      </c>
      <c r="K386" s="43">
        <f>IF(Source!BS143&lt;&gt; 0, Source!BS143, 1)</f>
        <v>28.93</v>
      </c>
      <c r="L386" s="48">
        <f>Source!HI143</f>
        <v>14918.91</v>
      </c>
    </row>
    <row r="387" spans="1:95" ht="14.25">
      <c r="A387" s="57"/>
      <c r="B387" s="58">
        <v>4</v>
      </c>
      <c r="C387" s="57" t="s">
        <v>813</v>
      </c>
      <c r="D387" s="42"/>
      <c r="E387" s="38"/>
      <c r="F387" s="38"/>
      <c r="G387" s="38"/>
      <c r="H387" s="35">
        <f>Source!AL143</f>
        <v>704.01</v>
      </c>
      <c r="I387" s="43"/>
      <c r="J387" s="35">
        <f>ROUND(Source!AC143*Source!I143, 2)</f>
        <v>788.49</v>
      </c>
      <c r="K387" s="43"/>
      <c r="L387" s="35"/>
    </row>
    <row r="388" spans="1:95" ht="14.25">
      <c r="A388" s="57"/>
      <c r="B388" s="57"/>
      <c r="C388" s="57" t="s">
        <v>795</v>
      </c>
      <c r="D388" s="42" t="s">
        <v>796</v>
      </c>
      <c r="E388" s="38">
        <f>Source!AQ143</f>
        <v>83.71</v>
      </c>
      <c r="F388" s="38">
        <f>ROUND(0.4923,7)</f>
        <v>0.49230000000000002</v>
      </c>
      <c r="G388" s="38">
        <f>ROUND(Source!U143, 7)</f>
        <v>46.155684999999998</v>
      </c>
      <c r="H388" s="35"/>
      <c r="I388" s="43"/>
      <c r="J388" s="35"/>
      <c r="K388" s="43"/>
      <c r="L388" s="35"/>
    </row>
    <row r="389" spans="1:95" ht="14.25">
      <c r="A389" s="57"/>
      <c r="B389" s="57"/>
      <c r="C389" s="59" t="s">
        <v>807</v>
      </c>
      <c r="D389" s="44" t="s">
        <v>796</v>
      </c>
      <c r="E389" s="45">
        <f>Source!AR143</f>
        <v>72.12</v>
      </c>
      <c r="F389" s="45">
        <f>ROUND(0.4923,7)</f>
        <v>0.49230000000000002</v>
      </c>
      <c r="G389" s="45">
        <f>ROUND(Source!V143, 7)</f>
        <v>39.7652371</v>
      </c>
      <c r="H389" s="46"/>
      <c r="I389" s="47"/>
      <c r="J389" s="46"/>
      <c r="K389" s="47"/>
      <c r="L389" s="46"/>
    </row>
    <row r="390" spans="1:95" ht="14.25">
      <c r="A390" s="57"/>
      <c r="B390" s="57"/>
      <c r="C390" s="57" t="s">
        <v>797</v>
      </c>
      <c r="D390" s="42"/>
      <c r="E390" s="38"/>
      <c r="F390" s="38"/>
      <c r="G390" s="38"/>
      <c r="H390" s="35">
        <f>H384+H385+H387</f>
        <v>53921.78</v>
      </c>
      <c r="I390" s="43"/>
      <c r="J390" s="35">
        <f>J384+J385+J387</f>
        <v>30131.49</v>
      </c>
      <c r="K390" s="43"/>
      <c r="L390" s="35"/>
    </row>
    <row r="391" spans="1:95" ht="14.25">
      <c r="A391" s="57"/>
      <c r="B391" s="57"/>
      <c r="C391" s="57" t="s">
        <v>798</v>
      </c>
      <c r="D391" s="42"/>
      <c r="E391" s="38"/>
      <c r="F391" s="38"/>
      <c r="G391" s="38"/>
      <c r="H391" s="35"/>
      <c r="I391" s="43"/>
      <c r="J391" s="35">
        <f>SUM(Q381:Q394)+SUM(V381:V394)+SUM(X381:X394)+SUM(Y381:Y394)</f>
        <v>967.09</v>
      </c>
      <c r="K391" s="43"/>
      <c r="L391" s="35">
        <f>SUM(U381:U394)+SUM(W381:W394)+SUM(Z381:Z394)+SUM(AA381:AA394)</f>
        <v>27977.91</v>
      </c>
    </row>
    <row r="392" spans="1:95" ht="14.25">
      <c r="A392" s="57"/>
      <c r="B392" s="57" t="s">
        <v>236</v>
      </c>
      <c r="C392" s="57" t="s">
        <v>853</v>
      </c>
      <c r="D392" s="42" t="s">
        <v>800</v>
      </c>
      <c r="E392" s="38">
        <f>Source!BZ143</f>
        <v>106</v>
      </c>
      <c r="F392" s="38"/>
      <c r="G392" s="38">
        <f>Source!AT143</f>
        <v>106</v>
      </c>
      <c r="H392" s="35"/>
      <c r="I392" s="43"/>
      <c r="J392" s="35">
        <f>SUM(AG381:AG394)</f>
        <v>1025.1199999999999</v>
      </c>
      <c r="K392" s="43"/>
      <c r="L392" s="35">
        <f>SUM(AH381:AH394)</f>
        <v>29656.58</v>
      </c>
    </row>
    <row r="393" spans="1:95" ht="14.25">
      <c r="A393" s="59"/>
      <c r="B393" s="59" t="s">
        <v>237</v>
      </c>
      <c r="C393" s="59" t="s">
        <v>854</v>
      </c>
      <c r="D393" s="44" t="s">
        <v>800</v>
      </c>
      <c r="E393" s="45">
        <f>Source!CA143</f>
        <v>45</v>
      </c>
      <c r="F393" s="45"/>
      <c r="G393" s="45">
        <f>Source!AU143</f>
        <v>45</v>
      </c>
      <c r="H393" s="46"/>
      <c r="I393" s="47"/>
      <c r="J393" s="46">
        <f>SUM(AI381:AI394)</f>
        <v>435.19</v>
      </c>
      <c r="K393" s="47"/>
      <c r="L393" s="46">
        <f>SUM(AJ381:AJ394)</f>
        <v>12590.06</v>
      </c>
    </row>
    <row r="394" spans="1:95" ht="15">
      <c r="C394" s="108" t="s">
        <v>802</v>
      </c>
      <c r="D394" s="108"/>
      <c r="E394" s="108"/>
      <c r="F394" s="108"/>
      <c r="G394" s="108"/>
      <c r="H394" s="108"/>
      <c r="I394" s="108">
        <f>J384+J385+J387+J392+J393</f>
        <v>31591.8</v>
      </c>
      <c r="J394" s="108"/>
      <c r="O394" s="33">
        <f>I394</f>
        <v>31591.8</v>
      </c>
      <c r="P394">
        <f>K394</f>
        <v>0</v>
      </c>
      <c r="Q394" s="33">
        <f>J384</f>
        <v>451.4</v>
      </c>
      <c r="R394" s="33">
        <f>J384</f>
        <v>451.4</v>
      </c>
      <c r="U394" s="33">
        <f>L384</f>
        <v>13059</v>
      </c>
      <c r="X394" s="33">
        <f>J386</f>
        <v>515.69000000000005</v>
      </c>
      <c r="Z394" s="33">
        <f>L386</f>
        <v>14918.91</v>
      </c>
      <c r="AB394" s="33">
        <f>J385</f>
        <v>28891.599999999999</v>
      </c>
      <c r="AD394" s="33">
        <f>L385</f>
        <v>0</v>
      </c>
      <c r="AF394" s="33">
        <f>J387</f>
        <v>788.49</v>
      </c>
      <c r="AN394">
        <f>IF(Source!BI143&lt;=1,J384+J385+J387+J392+J393, 0)</f>
        <v>31591.8</v>
      </c>
      <c r="AO394">
        <f>IF(Source!BI143&lt;=1,J387, 0)</f>
        <v>788.49</v>
      </c>
      <c r="AP394">
        <f>IF(Source!BI143&lt;=1,J385, 0)</f>
        <v>28891.599999999999</v>
      </c>
      <c r="AQ394">
        <f>IF(Source!BI143&lt;=1,J384, 0)</f>
        <v>451.4</v>
      </c>
      <c r="AX394">
        <f>IF(Source!BI143=2,J384+J385+J387+J392+J393, 0)</f>
        <v>0</v>
      </c>
      <c r="AY394">
        <f>IF(Source!BI143=2,J387, 0)</f>
        <v>0</v>
      </c>
      <c r="AZ394">
        <f>IF(Source!BI143=2,J385, 0)</f>
        <v>0</v>
      </c>
      <c r="BA394">
        <f>IF(Source!BI143=2,J384, 0)</f>
        <v>0</v>
      </c>
    </row>
    <row r="395" spans="1:95" ht="28.5">
      <c r="A395" s="57">
        <v>28</v>
      </c>
      <c r="B395" s="57" t="str">
        <f>Source!F144</f>
        <v>507-2857</v>
      </c>
      <c r="C395" s="57" t="str">
        <f>Source!G144</f>
        <v>Труба ПЭ 100 SDR 17, наружный диаметр 160 мм (ГОСТ 18599-2001)</v>
      </c>
      <c r="D395" s="42" t="str">
        <f>Source!H144</f>
        <v>10 м</v>
      </c>
      <c r="E395" s="38">
        <f>Source!K144</f>
        <v>11.2</v>
      </c>
      <c r="F395" s="38"/>
      <c r="G395" s="38">
        <f>Source!I144</f>
        <v>11.2</v>
      </c>
      <c r="H395" s="35">
        <f>Source!AL144</f>
        <v>1162.23</v>
      </c>
      <c r="I395" s="43"/>
      <c r="J395" s="35">
        <f>ROUND(Source!AC144*Source!I144, 2)</f>
        <v>13016.98</v>
      </c>
      <c r="K395" s="43"/>
      <c r="L395" s="35"/>
      <c r="AG395">
        <f>Source!X144</f>
        <v>0</v>
      </c>
      <c r="AH395">
        <f>Source!HK144</f>
        <v>0</v>
      </c>
      <c r="AI395">
        <f>Source!Y144</f>
        <v>0</v>
      </c>
      <c r="AJ395">
        <f>Source!HL144</f>
        <v>0</v>
      </c>
      <c r="AS395">
        <f>IF(Source!BI144&lt;=1,AH395, 0)</f>
        <v>0</v>
      </c>
      <c r="AT395">
        <f>IF(Source!BI144&lt;=1,AJ395, 0)</f>
        <v>0</v>
      </c>
      <c r="BC395">
        <f>IF(Source!BI144=2,AH395, 0)</f>
        <v>0</v>
      </c>
      <c r="BD395">
        <f>IF(Source!BI144=2,AJ395, 0)</f>
        <v>0</v>
      </c>
    </row>
    <row r="397" spans="1:95">
      <c r="A397" s="36"/>
      <c r="B397" s="36"/>
      <c r="C397" s="37" t="str">
        <f>"Объем: "&amp;Source!K144&amp;"=112/"&amp;"10"</f>
        <v>Объем: 11,2=112/10</v>
      </c>
      <c r="D397" s="36"/>
      <c r="E397" s="36"/>
      <c r="F397" s="36"/>
      <c r="G397" s="36"/>
      <c r="H397" s="36"/>
      <c r="I397" s="36"/>
      <c r="J397" s="36"/>
      <c r="K397" s="36"/>
      <c r="L397" s="36"/>
    </row>
    <row r="398" spans="1:95" ht="15">
      <c r="C398" s="108" t="s">
        <v>802</v>
      </c>
      <c r="D398" s="108"/>
      <c r="E398" s="108"/>
      <c r="F398" s="108"/>
      <c r="G398" s="108"/>
      <c r="H398" s="108"/>
      <c r="I398" s="108">
        <f>J395</f>
        <v>13016.98</v>
      </c>
      <c r="J398" s="108"/>
      <c r="O398" s="33">
        <f>I398</f>
        <v>13016.98</v>
      </c>
      <c r="P398">
        <f>K398</f>
        <v>0</v>
      </c>
      <c r="Q398">
        <f>0</f>
        <v>0</v>
      </c>
      <c r="R398">
        <f>0</f>
        <v>0</v>
      </c>
      <c r="U398">
        <f>0</f>
        <v>0</v>
      </c>
      <c r="X398">
        <f>0</f>
        <v>0</v>
      </c>
      <c r="Z398">
        <f>0</f>
        <v>0</v>
      </c>
      <c r="AB398">
        <f>0</f>
        <v>0</v>
      </c>
      <c r="AD398">
        <f>0</f>
        <v>0</v>
      </c>
      <c r="AF398" s="33">
        <f>I398</f>
        <v>13016.98</v>
      </c>
      <c r="AN398">
        <f>IF(Source!BI144&lt;=1,J395, 0)</f>
        <v>0</v>
      </c>
      <c r="AO398">
        <f>IF(Source!BI144&lt;=1,I398, 0)</f>
        <v>0</v>
      </c>
      <c r="AP398">
        <f>IF(Source!BI144&lt;=1,0, 0)</f>
        <v>0</v>
      </c>
      <c r="AQ398">
        <f>IF(Source!BI144&lt;=1,0, 0)</f>
        <v>0</v>
      </c>
      <c r="AX398">
        <f>IF(Source!BI144=2,J395, 0)</f>
        <v>13016.98</v>
      </c>
      <c r="AY398">
        <f>IF(Source!BI144=2,I398, 0)</f>
        <v>13016.98</v>
      </c>
      <c r="AZ398">
        <f>IF(Source!BI144=2,0, 0)</f>
        <v>0</v>
      </c>
      <c r="BA398">
        <f>IF(Source!BI144=2,0, 0)</f>
        <v>0</v>
      </c>
    </row>
    <row r="400" spans="1:95" ht="15">
      <c r="A400" s="49"/>
      <c r="B400" s="50"/>
      <c r="C400" s="107" t="s">
        <v>820</v>
      </c>
      <c r="D400" s="107"/>
      <c r="E400" s="107"/>
      <c r="F400" s="107"/>
      <c r="G400" s="107"/>
      <c r="H400" s="107"/>
      <c r="I400" s="51"/>
      <c r="J400" s="52">
        <f>J402+J403+J404+J405</f>
        <v>57503.599999999991</v>
      </c>
      <c r="K400" s="52"/>
      <c r="L400" s="52"/>
      <c r="CQ400" s="61" t="s">
        <v>820</v>
      </c>
    </row>
    <row r="401" spans="1:12" ht="14.25">
      <c r="A401" s="53"/>
      <c r="B401" s="54"/>
      <c r="C401" s="105" t="s">
        <v>821</v>
      </c>
      <c r="D401" s="106"/>
      <c r="E401" s="106"/>
      <c r="F401" s="106"/>
      <c r="G401" s="106"/>
      <c r="H401" s="106"/>
      <c r="I401" s="55"/>
      <c r="J401" s="56"/>
      <c r="K401" s="56"/>
      <c r="L401" s="56"/>
    </row>
    <row r="402" spans="1:12" ht="14.25">
      <c r="A402" s="53"/>
      <c r="B402" s="54"/>
      <c r="C402" s="106" t="s">
        <v>822</v>
      </c>
      <c r="D402" s="106"/>
      <c r="E402" s="106"/>
      <c r="F402" s="106"/>
      <c r="G402" s="106"/>
      <c r="H402" s="106"/>
      <c r="I402" s="55"/>
      <c r="J402" s="56">
        <f>SUM(Q366:Q398)</f>
        <v>563.85</v>
      </c>
      <c r="K402" s="56"/>
      <c r="L402" s="56"/>
    </row>
    <row r="403" spans="1:12" ht="14.25">
      <c r="A403" s="53"/>
      <c r="B403" s="54"/>
      <c r="C403" s="106" t="s">
        <v>823</v>
      </c>
      <c r="D403" s="106"/>
      <c r="E403" s="106"/>
      <c r="F403" s="106"/>
      <c r="G403" s="106"/>
      <c r="H403" s="106"/>
      <c r="I403" s="55"/>
      <c r="J403" s="56">
        <f>SUM(AB366:AB398)</f>
        <v>43123.479999999996</v>
      </c>
      <c r="K403" s="56"/>
      <c r="L403" s="56"/>
    </row>
    <row r="404" spans="1:12" ht="14.25">
      <c r="A404" s="53"/>
      <c r="B404" s="54"/>
      <c r="C404" s="106" t="s">
        <v>824</v>
      </c>
      <c r="D404" s="106"/>
      <c r="E404" s="106"/>
      <c r="F404" s="106"/>
      <c r="G404" s="106"/>
      <c r="H404" s="106"/>
      <c r="I404" s="55"/>
      <c r="J404" s="56">
        <f>Source!F149-J409</f>
        <v>13816.27</v>
      </c>
      <c r="K404" s="56"/>
      <c r="L404" s="56"/>
    </row>
    <row r="405" spans="1:12" ht="14.25" hidden="1" customHeight="1">
      <c r="A405" s="53"/>
      <c r="B405" s="54"/>
      <c r="C405" s="106" t="s">
        <v>825</v>
      </c>
      <c r="D405" s="106"/>
      <c r="E405" s="106"/>
      <c r="F405" s="106"/>
      <c r="G405" s="106"/>
      <c r="H405" s="106"/>
      <c r="I405" s="55"/>
      <c r="J405" s="56">
        <f>Source!F171</f>
        <v>0</v>
      </c>
      <c r="K405" s="56"/>
      <c r="L405" s="56"/>
    </row>
    <row r="406" spans="1:12" ht="14.25">
      <c r="A406" s="53"/>
      <c r="B406" s="54"/>
      <c r="C406" s="106" t="s">
        <v>826</v>
      </c>
      <c r="D406" s="106"/>
      <c r="E406" s="106"/>
      <c r="F406" s="106"/>
      <c r="G406" s="106"/>
      <c r="H406" s="106"/>
      <c r="I406" s="55"/>
      <c r="J406" s="56">
        <f>SUM(Q366:Q398)+SUM(X366:X398)</f>
        <v>1240.08</v>
      </c>
      <c r="K406" s="56"/>
      <c r="L406" s="56"/>
    </row>
    <row r="407" spans="1:12" ht="14.25">
      <c r="A407" s="53"/>
      <c r="B407" s="54"/>
      <c r="C407" s="106" t="s">
        <v>827</v>
      </c>
      <c r="D407" s="106"/>
      <c r="E407" s="106"/>
      <c r="F407" s="106"/>
      <c r="G407" s="106"/>
      <c r="H407" s="106"/>
      <c r="I407" s="55"/>
      <c r="J407" s="56">
        <f>Source!F172</f>
        <v>1314.49</v>
      </c>
      <c r="K407" s="56"/>
      <c r="L407" s="56"/>
    </row>
    <row r="408" spans="1:12" ht="14.25">
      <c r="A408" s="53"/>
      <c r="B408" s="54"/>
      <c r="C408" s="106" t="s">
        <v>828</v>
      </c>
      <c r="D408" s="106"/>
      <c r="E408" s="106"/>
      <c r="F408" s="106"/>
      <c r="G408" s="106"/>
      <c r="H408" s="106"/>
      <c r="I408" s="55"/>
      <c r="J408" s="56">
        <f>Source!F173</f>
        <v>558.04</v>
      </c>
      <c r="K408" s="56"/>
      <c r="L408" s="56"/>
    </row>
    <row r="409" spans="1:12" ht="14.25" hidden="1" customHeight="1">
      <c r="A409" s="53"/>
      <c r="B409" s="54"/>
      <c r="C409" s="106" t="s">
        <v>829</v>
      </c>
      <c r="D409" s="106"/>
      <c r="E409" s="106"/>
      <c r="F409" s="106"/>
      <c r="G409" s="106"/>
      <c r="H409" s="106"/>
      <c r="I409" s="55"/>
      <c r="J409" s="56">
        <f>Source!F155</f>
        <v>0</v>
      </c>
      <c r="K409" s="56"/>
      <c r="L409" s="56"/>
    </row>
    <row r="410" spans="1:12" ht="14.25" hidden="1" customHeight="1">
      <c r="A410" s="53"/>
      <c r="B410" s="54"/>
      <c r="C410" s="106" t="s">
        <v>830</v>
      </c>
      <c r="D410" s="106"/>
      <c r="E410" s="106"/>
      <c r="F410" s="106"/>
      <c r="G410" s="106"/>
      <c r="H410" s="106"/>
      <c r="I410" s="55"/>
      <c r="J410" s="56">
        <f>Source!F165</f>
        <v>0</v>
      </c>
      <c r="K410" s="56"/>
      <c r="L410" s="56"/>
    </row>
    <row r="411" spans="1:12" ht="15">
      <c r="A411" s="49"/>
      <c r="B411" s="50"/>
      <c r="C411" s="107" t="s">
        <v>831</v>
      </c>
      <c r="D411" s="107"/>
      <c r="E411" s="107"/>
      <c r="F411" s="107"/>
      <c r="G411" s="107"/>
      <c r="H411" s="107"/>
      <c r="I411" s="51"/>
      <c r="J411" s="52">
        <f>Source!F174</f>
        <v>59376.13</v>
      </c>
      <c r="K411" s="52"/>
      <c r="L411" s="52"/>
    </row>
    <row r="412" spans="1:12" ht="14.25" hidden="1" customHeight="1">
      <c r="A412" s="53"/>
      <c r="B412" s="54"/>
      <c r="C412" s="105" t="s">
        <v>821</v>
      </c>
      <c r="D412" s="106"/>
      <c r="E412" s="106"/>
      <c r="F412" s="106"/>
      <c r="G412" s="106"/>
      <c r="H412" s="106"/>
      <c r="I412" s="55"/>
      <c r="J412" s="56"/>
      <c r="K412" s="56"/>
      <c r="L412" s="56"/>
    </row>
    <row r="413" spans="1:12" ht="14.25" hidden="1" customHeight="1">
      <c r="A413" s="53"/>
      <c r="B413" s="54"/>
      <c r="C413" s="106" t="s">
        <v>832</v>
      </c>
      <c r="D413" s="106"/>
      <c r="E413" s="106"/>
      <c r="F413" s="106"/>
      <c r="G413" s="106"/>
      <c r="H413" s="106"/>
      <c r="I413" s="55"/>
      <c r="J413" s="56"/>
      <c r="K413" s="56"/>
      <c r="L413" s="56">
        <f>SUM(BS366:BS398)</f>
        <v>0</v>
      </c>
    </row>
    <row r="414" spans="1:12" ht="14.25" hidden="1" customHeight="1">
      <c r="A414" s="53"/>
      <c r="B414" s="54"/>
      <c r="C414" s="106" t="s">
        <v>833</v>
      </c>
      <c r="D414" s="106"/>
      <c r="E414" s="106"/>
      <c r="F414" s="106"/>
      <c r="G414" s="106"/>
      <c r="H414" s="106"/>
      <c r="I414" s="55"/>
      <c r="J414" s="56"/>
      <c r="K414" s="56"/>
      <c r="L414" s="56">
        <f>SUM(BT366:BT398)</f>
        <v>0</v>
      </c>
    </row>
    <row r="415" spans="1:12" ht="14.25">
      <c r="C415" s="104" t="str">
        <f>Source!H175</f>
        <v>Итого прямые затраты</v>
      </c>
      <c r="D415" s="104"/>
      <c r="E415" s="104"/>
      <c r="F415" s="104"/>
      <c r="G415" s="104"/>
      <c r="H415" s="104"/>
      <c r="I415" s="104"/>
      <c r="J415" s="34">
        <f>IF(Source!W175=0, "", Source!W175)</f>
        <v>57504</v>
      </c>
    </row>
    <row r="416" spans="1:12" ht="14.25">
      <c r="C416" s="104" t="str">
        <f>Source!H176</f>
        <v>Накладные расходы</v>
      </c>
      <c r="D416" s="104"/>
      <c r="E416" s="104"/>
      <c r="F416" s="104"/>
      <c r="G416" s="104"/>
      <c r="H416" s="104"/>
      <c r="I416" s="104"/>
      <c r="J416" s="34">
        <f>IF(Source!W176=0, "", Source!W176)</f>
        <v>1314</v>
      </c>
    </row>
    <row r="417" spans="1:56" ht="14.25">
      <c r="C417" s="104" t="str">
        <f>Source!H177</f>
        <v>Сметная прибыль</v>
      </c>
      <c r="D417" s="104"/>
      <c r="E417" s="104"/>
      <c r="F417" s="104"/>
      <c r="G417" s="104"/>
      <c r="H417" s="104"/>
      <c r="I417" s="104"/>
      <c r="J417" s="34">
        <f>IF(Source!W177=0, "", Source!W177)</f>
        <v>558</v>
      </c>
    </row>
    <row r="418" spans="1:56" ht="14.25">
      <c r="C418" s="104" t="str">
        <f>Source!H178</f>
        <v>Итого</v>
      </c>
      <c r="D418" s="104"/>
      <c r="E418" s="104"/>
      <c r="F418" s="104"/>
      <c r="G418" s="104"/>
      <c r="H418" s="104"/>
      <c r="I418" s="104"/>
      <c r="J418" s="35">
        <f>IF(Source!W178=0, "", Source!W178)</f>
        <v>59376</v>
      </c>
    </row>
    <row r="419" spans="1:56" ht="14.25">
      <c r="C419" s="104" t="str">
        <f>Source!H179</f>
        <v>В том числе общестроительные работы</v>
      </c>
      <c r="D419" s="104"/>
      <c r="E419" s="104"/>
      <c r="F419" s="104"/>
      <c r="G419" s="104"/>
      <c r="H419" s="104"/>
      <c r="I419" s="104"/>
      <c r="J419" s="35">
        <f>IF(Source!W179=0, "", Source!W179)</f>
        <v>46359.15</v>
      </c>
    </row>
    <row r="420" spans="1:56" ht="14.25">
      <c r="C420" s="104" t="str">
        <f>Source!H180</f>
        <v>В том числе монтажные работы</v>
      </c>
      <c r="D420" s="104"/>
      <c r="E420" s="104"/>
      <c r="F420" s="104"/>
      <c r="G420" s="104"/>
      <c r="H420" s="104"/>
      <c r="I420" s="104"/>
      <c r="J420" s="35">
        <f>IF(Source!W180=0, "", Source!W180)</f>
        <v>13016.98</v>
      </c>
    </row>
    <row r="422" spans="1:56" ht="16.5">
      <c r="A422" s="109" t="s">
        <v>856</v>
      </c>
      <c r="B422" s="109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</row>
    <row r="423" spans="1:56" ht="105">
      <c r="A423" s="57">
        <v>29</v>
      </c>
      <c r="B423" s="57" t="str">
        <f>Source!F189</f>
        <v>27-03-008-4</v>
      </c>
      <c r="C423" s="57" t="s">
        <v>857</v>
      </c>
      <c r="D423" s="42" t="str">
        <f>Source!H189</f>
        <v>100 м3 конструкций</v>
      </c>
      <c r="E423" s="38">
        <f>Source!K189</f>
        <v>0.03</v>
      </c>
      <c r="F423" s="38"/>
      <c r="G423" s="38">
        <f>Source!I189</f>
        <v>0.03</v>
      </c>
      <c r="H423" s="35"/>
      <c r="I423" s="43"/>
      <c r="J423" s="35"/>
      <c r="K423" s="43"/>
      <c r="L423" s="35"/>
      <c r="AG423">
        <f>Source!X189</f>
        <v>115.88</v>
      </c>
      <c r="AH423">
        <f>Source!HK189</f>
        <v>3352.41</v>
      </c>
      <c r="AI423">
        <f>Source!Y189</f>
        <v>105.63</v>
      </c>
      <c r="AJ423">
        <f>Source!HL189</f>
        <v>3055.94</v>
      </c>
      <c r="AS423">
        <f>IF(Source!BI189&lt;=1,AH423, 0)</f>
        <v>3352.41</v>
      </c>
      <c r="AT423">
        <f>IF(Source!BI189&lt;=1,AJ423, 0)</f>
        <v>3055.94</v>
      </c>
      <c r="BC423">
        <f>IF(Source!BI189=2,AH423, 0)</f>
        <v>0</v>
      </c>
      <c r="BD423">
        <f>IF(Source!BI189=2,AJ423, 0)</f>
        <v>0</v>
      </c>
    </row>
    <row r="425" spans="1:56">
      <c r="C425" s="32" t="str">
        <f>"Объем: "&amp;Source!K189&amp;"=30*"&amp;"0,1/"&amp;"100"</f>
        <v>Объем: 0,03=30*0,1/100</v>
      </c>
    </row>
    <row r="426" spans="1:56" ht="14.25">
      <c r="A426" s="57"/>
      <c r="B426" s="58">
        <v>1</v>
      </c>
      <c r="C426" s="57" t="s">
        <v>794</v>
      </c>
      <c r="D426" s="42"/>
      <c r="E426" s="38"/>
      <c r="F426" s="38"/>
      <c r="G426" s="38"/>
      <c r="H426" s="35">
        <f>Source!AO189</f>
        <v>1452.78</v>
      </c>
      <c r="I426" s="43">
        <f>ROUND(1.2*1.15,7)</f>
        <v>1.38</v>
      </c>
      <c r="J426" s="35">
        <f>ROUND(Source!AF189*Source!I189, 2)</f>
        <v>60.15</v>
      </c>
      <c r="K426" s="43">
        <f>IF(Source!BA189&lt;&gt; 0, Source!BA189, 1)</f>
        <v>28.93</v>
      </c>
      <c r="L426" s="35">
        <f>Source!HJ189</f>
        <v>1740.14</v>
      </c>
    </row>
    <row r="427" spans="1:56" ht="14.25">
      <c r="A427" s="57"/>
      <c r="B427" s="58">
        <v>3</v>
      </c>
      <c r="C427" s="57" t="s">
        <v>805</v>
      </c>
      <c r="D427" s="42"/>
      <c r="E427" s="38"/>
      <c r="F427" s="38"/>
      <c r="G427" s="38"/>
      <c r="H427" s="35">
        <f>Source!AM189</f>
        <v>5013.59</v>
      </c>
      <c r="I427" s="43">
        <f>ROUND(1.2*1.15,7)</f>
        <v>1.38</v>
      </c>
      <c r="J427" s="35">
        <f>ROUND(Source!AD189*Source!I189, 2)</f>
        <v>207.56</v>
      </c>
      <c r="K427" s="43"/>
      <c r="L427" s="35"/>
    </row>
    <row r="428" spans="1:56" ht="14.25">
      <c r="A428" s="57"/>
      <c r="B428" s="58">
        <v>2</v>
      </c>
      <c r="C428" s="57" t="s">
        <v>806</v>
      </c>
      <c r="D428" s="42"/>
      <c r="E428" s="38"/>
      <c r="F428" s="38"/>
      <c r="G428" s="38"/>
      <c r="H428" s="35">
        <f>Source!AN189</f>
        <v>451.28</v>
      </c>
      <c r="I428" s="43">
        <f>ROUND(1.2*1.15,7)</f>
        <v>1.38</v>
      </c>
      <c r="J428" s="48">
        <f>ROUND(Source!AE189*Source!I189, 2)</f>
        <v>18.68</v>
      </c>
      <c r="K428" s="43">
        <f>IF(Source!BS189&lt;&gt; 0, Source!BS189, 1)</f>
        <v>28.93</v>
      </c>
      <c r="L428" s="48">
        <f>Source!HI189</f>
        <v>540.41</v>
      </c>
    </row>
    <row r="429" spans="1:56" ht="14.25">
      <c r="A429" s="57"/>
      <c r="B429" s="57"/>
      <c r="C429" s="57" t="s">
        <v>795</v>
      </c>
      <c r="D429" s="42" t="s">
        <v>796</v>
      </c>
      <c r="E429" s="38">
        <f>Source!AQ189</f>
        <v>179.8</v>
      </c>
      <c r="F429" s="38">
        <f>ROUND(1.2*1.15,7)</f>
        <v>1.38</v>
      </c>
      <c r="G429" s="38">
        <f>ROUND(Source!U189, 7)</f>
        <v>7.4437199999999999</v>
      </c>
      <c r="H429" s="35"/>
      <c r="I429" s="43"/>
      <c r="J429" s="35"/>
      <c r="K429" s="43"/>
      <c r="L429" s="35"/>
    </row>
    <row r="430" spans="1:56" ht="14.25">
      <c r="A430" s="57"/>
      <c r="B430" s="57"/>
      <c r="C430" s="59" t="s">
        <v>807</v>
      </c>
      <c r="D430" s="44" t="s">
        <v>796</v>
      </c>
      <c r="E430" s="45">
        <f>Source!AR189</f>
        <v>45.63</v>
      </c>
      <c r="F430" s="45">
        <f>ROUND(1.2*1.15,7)</f>
        <v>1.38</v>
      </c>
      <c r="G430" s="45">
        <f>ROUND(Source!V189, 7)</f>
        <v>1.8890819999999999</v>
      </c>
      <c r="H430" s="46"/>
      <c r="I430" s="47"/>
      <c r="J430" s="46"/>
      <c r="K430" s="47"/>
      <c r="L430" s="46"/>
    </row>
    <row r="431" spans="1:56" ht="14.25">
      <c r="A431" s="57"/>
      <c r="B431" s="57"/>
      <c r="C431" s="57" t="s">
        <v>797</v>
      </c>
      <c r="D431" s="42"/>
      <c r="E431" s="38"/>
      <c r="F431" s="38"/>
      <c r="G431" s="38"/>
      <c r="H431" s="35">
        <f>H426+H427</f>
        <v>6466.37</v>
      </c>
      <c r="I431" s="43"/>
      <c r="J431" s="35">
        <f>J426+J427</f>
        <v>267.70999999999998</v>
      </c>
      <c r="K431" s="43"/>
      <c r="L431" s="35"/>
    </row>
    <row r="432" spans="1:56" ht="14.25">
      <c r="A432" s="57"/>
      <c r="B432" s="57"/>
      <c r="C432" s="57" t="s">
        <v>798</v>
      </c>
      <c r="D432" s="42"/>
      <c r="E432" s="38"/>
      <c r="F432" s="38"/>
      <c r="G432" s="38"/>
      <c r="H432" s="35"/>
      <c r="I432" s="43"/>
      <c r="J432" s="35">
        <f>SUM(Q423:Q435)+SUM(V423:V435)+SUM(X423:X435)+SUM(Y423:Y435)</f>
        <v>78.83</v>
      </c>
      <c r="K432" s="43"/>
      <c r="L432" s="35">
        <f>SUM(U423:U435)+SUM(W423:W435)+SUM(Z423:Z435)+SUM(AA423:AA435)</f>
        <v>2280.5500000000002</v>
      </c>
    </row>
    <row r="433" spans="1:56" ht="14.25">
      <c r="A433" s="57"/>
      <c r="B433" s="57" t="s">
        <v>256</v>
      </c>
      <c r="C433" s="57" t="s">
        <v>858</v>
      </c>
      <c r="D433" s="42" t="s">
        <v>800</v>
      </c>
      <c r="E433" s="38">
        <f>Source!BZ189</f>
        <v>147</v>
      </c>
      <c r="F433" s="38"/>
      <c r="G433" s="38">
        <f>Source!AT189</f>
        <v>147</v>
      </c>
      <c r="H433" s="35"/>
      <c r="I433" s="43"/>
      <c r="J433" s="35">
        <f>SUM(AG423:AG435)</f>
        <v>115.88</v>
      </c>
      <c r="K433" s="43"/>
      <c r="L433" s="35">
        <f>SUM(AH423:AH435)</f>
        <v>3352.41</v>
      </c>
    </row>
    <row r="434" spans="1:56" ht="14.25">
      <c r="A434" s="59"/>
      <c r="B434" s="59" t="s">
        <v>257</v>
      </c>
      <c r="C434" s="59" t="s">
        <v>859</v>
      </c>
      <c r="D434" s="44" t="s">
        <v>800</v>
      </c>
      <c r="E434" s="45">
        <f>Source!CA189</f>
        <v>134</v>
      </c>
      <c r="F434" s="45"/>
      <c r="G434" s="45">
        <f>Source!AU189</f>
        <v>134</v>
      </c>
      <c r="H434" s="46"/>
      <c r="I434" s="47"/>
      <c r="J434" s="46">
        <f>SUM(AI423:AI435)</f>
        <v>105.63</v>
      </c>
      <c r="K434" s="47"/>
      <c r="L434" s="46">
        <f>SUM(AJ423:AJ435)</f>
        <v>3055.94</v>
      </c>
    </row>
    <row r="435" spans="1:56" ht="15">
      <c r="C435" s="108" t="s">
        <v>802</v>
      </c>
      <c r="D435" s="108"/>
      <c r="E435" s="108"/>
      <c r="F435" s="108"/>
      <c r="G435" s="108"/>
      <c r="H435" s="108"/>
      <c r="I435" s="108">
        <f>J426+J427+J433+J434</f>
        <v>489.21999999999997</v>
      </c>
      <c r="J435" s="108"/>
      <c r="O435" s="33">
        <f>I435</f>
        <v>489.21999999999997</v>
      </c>
      <c r="P435">
        <f>K435</f>
        <v>0</v>
      </c>
      <c r="Q435" s="33">
        <f>J426</f>
        <v>60.15</v>
      </c>
      <c r="R435" s="33">
        <f>J426</f>
        <v>60.15</v>
      </c>
      <c r="U435" s="33">
        <f>L426</f>
        <v>1740.14</v>
      </c>
      <c r="X435" s="33">
        <f>J428</f>
        <v>18.68</v>
      </c>
      <c r="Z435" s="33">
        <f>L428</f>
        <v>540.41</v>
      </c>
      <c r="AB435" s="33">
        <f>J427</f>
        <v>207.56</v>
      </c>
      <c r="AD435" s="33">
        <f>L427</f>
        <v>0</v>
      </c>
      <c r="AF435">
        <f>0</f>
        <v>0</v>
      </c>
      <c r="AN435">
        <f>IF(Source!BI189&lt;=1,J426+J427+J433+J434, 0)</f>
        <v>489.21999999999997</v>
      </c>
      <c r="AO435">
        <f>IF(Source!BI189&lt;=1,0, 0)</f>
        <v>0</v>
      </c>
      <c r="AP435">
        <f>IF(Source!BI189&lt;=1,J427, 0)</f>
        <v>207.56</v>
      </c>
      <c r="AQ435">
        <f>IF(Source!BI189&lt;=1,J426, 0)</f>
        <v>60.15</v>
      </c>
      <c r="AX435">
        <f>IF(Source!BI189=2,J426+J427+J433+J434, 0)</f>
        <v>0</v>
      </c>
      <c r="AY435">
        <f>IF(Source!BI189=2,0, 0)</f>
        <v>0</v>
      </c>
      <c r="AZ435">
        <f>IF(Source!BI189=2,J427, 0)</f>
        <v>0</v>
      </c>
      <c r="BA435">
        <f>IF(Source!BI189=2,J426, 0)</f>
        <v>0</v>
      </c>
    </row>
    <row r="436" spans="1:56" ht="105">
      <c r="A436" s="57">
        <v>30</v>
      </c>
      <c r="B436" s="57" t="str">
        <f>Source!F190</f>
        <v>27-03-008-2</v>
      </c>
      <c r="C436" s="57" t="s">
        <v>860</v>
      </c>
      <c r="D436" s="42" t="str">
        <f>Source!H190</f>
        <v>100 м3 конструкций</v>
      </c>
      <c r="E436" s="38">
        <f>Source!K190</f>
        <v>4.4999999999999998E-2</v>
      </c>
      <c r="F436" s="38"/>
      <c r="G436" s="38">
        <f>Source!I190</f>
        <v>4.4999999999999998E-2</v>
      </c>
      <c r="H436" s="35"/>
      <c r="I436" s="43"/>
      <c r="J436" s="35"/>
      <c r="K436" s="43"/>
      <c r="L436" s="35"/>
      <c r="AG436">
        <f>Source!X190</f>
        <v>13.61</v>
      </c>
      <c r="AH436">
        <f>Source!HK190</f>
        <v>393.8</v>
      </c>
      <c r="AI436">
        <f>Source!Y190</f>
        <v>12.41</v>
      </c>
      <c r="AJ436">
        <f>Source!HL190</f>
        <v>358.97</v>
      </c>
      <c r="AS436">
        <f>IF(Source!BI190&lt;=1,AH436, 0)</f>
        <v>393.8</v>
      </c>
      <c r="AT436">
        <f>IF(Source!BI190&lt;=1,AJ436, 0)</f>
        <v>358.97</v>
      </c>
      <c r="BC436">
        <f>IF(Source!BI190=2,AH436, 0)</f>
        <v>0</v>
      </c>
      <c r="BD436">
        <f>IF(Source!BI190=2,AJ436, 0)</f>
        <v>0</v>
      </c>
    </row>
    <row r="438" spans="1:56">
      <c r="C438" s="32" t="str">
        <f>"Объем: "&amp;Source!K190&amp;"=30*"&amp;"0,15/"&amp;"100"</f>
        <v>Объем: 0,045=30*0,15/100</v>
      </c>
    </row>
    <row r="439" spans="1:56" ht="14.25">
      <c r="A439" s="57"/>
      <c r="B439" s="58">
        <v>1</v>
      </c>
      <c r="C439" s="57" t="s">
        <v>794</v>
      </c>
      <c r="D439" s="42"/>
      <c r="E439" s="38"/>
      <c r="F439" s="38"/>
      <c r="G439" s="38"/>
      <c r="H439" s="35">
        <f>Source!AO190</f>
        <v>100.21</v>
      </c>
      <c r="I439" s="43">
        <f>ROUND(1.2*1.15,7)</f>
        <v>1.38</v>
      </c>
      <c r="J439" s="35">
        <f>ROUND(Source!AF190*Source!I190, 2)</f>
        <v>6.22</v>
      </c>
      <c r="K439" s="43">
        <f>IF(Source!BA190&lt;&gt; 0, Source!BA190, 1)</f>
        <v>28.93</v>
      </c>
      <c r="L439" s="35">
        <f>Source!HJ190</f>
        <v>179.94</v>
      </c>
    </row>
    <row r="440" spans="1:56" ht="14.25">
      <c r="A440" s="57"/>
      <c r="B440" s="58">
        <v>3</v>
      </c>
      <c r="C440" s="57" t="s">
        <v>805</v>
      </c>
      <c r="D440" s="42"/>
      <c r="E440" s="38"/>
      <c r="F440" s="38"/>
      <c r="G440" s="38"/>
      <c r="H440" s="35">
        <f>Source!AM190</f>
        <v>438.38</v>
      </c>
      <c r="I440" s="43">
        <f>ROUND(1.2*1.15,7)</f>
        <v>1.38</v>
      </c>
      <c r="J440" s="35">
        <f>ROUND(Source!AD190*Source!I190, 2)</f>
        <v>27.22</v>
      </c>
      <c r="K440" s="43"/>
      <c r="L440" s="35"/>
    </row>
    <row r="441" spans="1:56" ht="14.25">
      <c r="A441" s="57"/>
      <c r="B441" s="58">
        <v>2</v>
      </c>
      <c r="C441" s="57" t="s">
        <v>806</v>
      </c>
      <c r="D441" s="42"/>
      <c r="E441" s="38"/>
      <c r="F441" s="38"/>
      <c r="G441" s="38"/>
      <c r="H441" s="35">
        <f>Source!AN190</f>
        <v>48.89</v>
      </c>
      <c r="I441" s="43">
        <f>ROUND(1.2*1.15,7)</f>
        <v>1.38</v>
      </c>
      <c r="J441" s="48">
        <f>ROUND(Source!AE190*Source!I190, 2)</f>
        <v>3.04</v>
      </c>
      <c r="K441" s="43">
        <f>IF(Source!BS190&lt;&gt; 0, Source!BS190, 1)</f>
        <v>28.93</v>
      </c>
      <c r="L441" s="48">
        <f>Source!HI190</f>
        <v>87.95</v>
      </c>
    </row>
    <row r="442" spans="1:56" ht="14.25">
      <c r="A442" s="57"/>
      <c r="B442" s="57"/>
      <c r="C442" s="57" t="s">
        <v>795</v>
      </c>
      <c r="D442" s="42" t="s">
        <v>796</v>
      </c>
      <c r="E442" s="38">
        <f>Source!AQ190</f>
        <v>13.22</v>
      </c>
      <c r="F442" s="38">
        <f>ROUND(1.2*1.15,7)</f>
        <v>1.38</v>
      </c>
      <c r="G442" s="38">
        <f>ROUND(Source!U190, 7)</f>
        <v>0.82096199999999997</v>
      </c>
      <c r="H442" s="35"/>
      <c r="I442" s="43"/>
      <c r="J442" s="35"/>
      <c r="K442" s="43"/>
      <c r="L442" s="35"/>
    </row>
    <row r="443" spans="1:56" ht="14.25">
      <c r="A443" s="57"/>
      <c r="B443" s="57"/>
      <c r="C443" s="59" t="s">
        <v>807</v>
      </c>
      <c r="D443" s="44" t="s">
        <v>796</v>
      </c>
      <c r="E443" s="45">
        <f>Source!AR190</f>
        <v>3.79</v>
      </c>
      <c r="F443" s="45">
        <f>ROUND(1.2*1.15,7)</f>
        <v>1.38</v>
      </c>
      <c r="G443" s="45">
        <f>ROUND(Source!V190, 7)</f>
        <v>0.23535900000000001</v>
      </c>
      <c r="H443" s="46"/>
      <c r="I443" s="47"/>
      <c r="J443" s="46"/>
      <c r="K443" s="47"/>
      <c r="L443" s="46"/>
    </row>
    <row r="444" spans="1:56" ht="14.25">
      <c r="A444" s="57"/>
      <c r="B444" s="57"/>
      <c r="C444" s="57" t="s">
        <v>797</v>
      </c>
      <c r="D444" s="42"/>
      <c r="E444" s="38"/>
      <c r="F444" s="38"/>
      <c r="G444" s="38"/>
      <c r="H444" s="35">
        <f>H439+H440</f>
        <v>538.59</v>
      </c>
      <c r="I444" s="43"/>
      <c r="J444" s="35">
        <f>J439+J440</f>
        <v>33.44</v>
      </c>
      <c r="K444" s="43"/>
      <c r="L444" s="35"/>
    </row>
    <row r="445" spans="1:56" ht="14.25">
      <c r="A445" s="57"/>
      <c r="B445" s="57"/>
      <c r="C445" s="57" t="s">
        <v>798</v>
      </c>
      <c r="D445" s="42"/>
      <c r="E445" s="38"/>
      <c r="F445" s="38"/>
      <c r="G445" s="38"/>
      <c r="H445" s="35"/>
      <c r="I445" s="43"/>
      <c r="J445" s="35">
        <f>SUM(Q436:Q448)+SUM(V436:V448)+SUM(X436:X448)+SUM(Y436:Y448)</f>
        <v>9.26</v>
      </c>
      <c r="K445" s="43"/>
      <c r="L445" s="35">
        <f>SUM(U436:U448)+SUM(W436:W448)+SUM(Z436:Z448)+SUM(AA436:AA448)</f>
        <v>267.89</v>
      </c>
    </row>
    <row r="446" spans="1:56" ht="14.25">
      <c r="A446" s="57"/>
      <c r="B446" s="57" t="s">
        <v>256</v>
      </c>
      <c r="C446" s="57" t="s">
        <v>858</v>
      </c>
      <c r="D446" s="42" t="s">
        <v>800</v>
      </c>
      <c r="E446" s="38">
        <f>Source!BZ190</f>
        <v>147</v>
      </c>
      <c r="F446" s="38"/>
      <c r="G446" s="38">
        <f>Source!AT190</f>
        <v>147</v>
      </c>
      <c r="H446" s="35"/>
      <c r="I446" s="43"/>
      <c r="J446" s="35">
        <f>SUM(AG436:AG448)</f>
        <v>13.61</v>
      </c>
      <c r="K446" s="43"/>
      <c r="L446" s="35">
        <f>SUM(AH436:AH448)</f>
        <v>393.8</v>
      </c>
    </row>
    <row r="447" spans="1:56" ht="14.25">
      <c r="A447" s="59"/>
      <c r="B447" s="59" t="s">
        <v>257</v>
      </c>
      <c r="C447" s="59" t="s">
        <v>859</v>
      </c>
      <c r="D447" s="44" t="s">
        <v>800</v>
      </c>
      <c r="E447" s="45">
        <f>Source!CA190</f>
        <v>134</v>
      </c>
      <c r="F447" s="45"/>
      <c r="G447" s="45">
        <f>Source!AU190</f>
        <v>134</v>
      </c>
      <c r="H447" s="46"/>
      <c r="I447" s="47"/>
      <c r="J447" s="46">
        <f>SUM(AI436:AI448)</f>
        <v>12.41</v>
      </c>
      <c r="K447" s="47"/>
      <c r="L447" s="46">
        <f>SUM(AJ436:AJ448)</f>
        <v>358.97</v>
      </c>
    </row>
    <row r="448" spans="1:56" ht="15">
      <c r="C448" s="108" t="s">
        <v>802</v>
      </c>
      <c r="D448" s="108"/>
      <c r="E448" s="108"/>
      <c r="F448" s="108"/>
      <c r="G448" s="108"/>
      <c r="H448" s="108"/>
      <c r="I448" s="108">
        <f>J439+J440+J446+J447</f>
        <v>59.459999999999994</v>
      </c>
      <c r="J448" s="108"/>
      <c r="O448" s="33">
        <f>I448</f>
        <v>59.459999999999994</v>
      </c>
      <c r="P448">
        <f>K448</f>
        <v>0</v>
      </c>
      <c r="Q448" s="33">
        <f>J439</f>
        <v>6.22</v>
      </c>
      <c r="R448" s="33">
        <f>J439</f>
        <v>6.22</v>
      </c>
      <c r="U448" s="33">
        <f>L439</f>
        <v>179.94</v>
      </c>
      <c r="X448" s="33">
        <f>J441</f>
        <v>3.04</v>
      </c>
      <c r="Z448" s="33">
        <f>L441</f>
        <v>87.95</v>
      </c>
      <c r="AB448" s="33">
        <f>J440</f>
        <v>27.22</v>
      </c>
      <c r="AD448" s="33">
        <f>L440</f>
        <v>0</v>
      </c>
      <c r="AF448">
        <f>0</f>
        <v>0</v>
      </c>
      <c r="AN448">
        <f>IF(Source!BI190&lt;=1,J439+J440+J446+J447, 0)</f>
        <v>59.459999999999994</v>
      </c>
      <c r="AO448">
        <f>IF(Source!BI190&lt;=1,0, 0)</f>
        <v>0</v>
      </c>
      <c r="AP448">
        <f>IF(Source!BI190&lt;=1,J440, 0)</f>
        <v>27.22</v>
      </c>
      <c r="AQ448">
        <f>IF(Source!BI190&lt;=1,J439, 0)</f>
        <v>6.22</v>
      </c>
      <c r="AX448">
        <f>IF(Source!BI190=2,J439+J440+J446+J447, 0)</f>
        <v>0</v>
      </c>
      <c r="AY448">
        <f>IF(Source!BI190=2,0, 0)</f>
        <v>0</v>
      </c>
      <c r="AZ448">
        <f>IF(Source!BI190=2,J440, 0)</f>
        <v>0</v>
      </c>
      <c r="BA448">
        <f>IF(Source!BI190=2,J439, 0)</f>
        <v>0</v>
      </c>
    </row>
    <row r="449" spans="1:61" ht="42.75">
      <c r="A449" s="57">
        <v>31</v>
      </c>
      <c r="B449" s="57" t="str">
        <f>Source!F191</f>
        <v>т01-01-01-041</v>
      </c>
      <c r="C449" s="57" t="str">
        <f>Source!G191</f>
        <v>Погрузка при автомобильных перевозках мусора строительного с погрузкой вручную</v>
      </c>
      <c r="D449" s="42" t="str">
        <f>Source!H191</f>
        <v>1 Т ГРУЗА</v>
      </c>
      <c r="E449" s="38">
        <f>Source!K191</f>
        <v>13.5</v>
      </c>
      <c r="F449" s="38"/>
      <c r="G449" s="38">
        <f>Source!I191</f>
        <v>13.5</v>
      </c>
      <c r="H449" s="35"/>
      <c r="I449" s="43"/>
      <c r="J449" s="35"/>
      <c r="K449" s="43"/>
      <c r="L449" s="35"/>
      <c r="AG449">
        <f>Source!X191</f>
        <v>0</v>
      </c>
      <c r="AH449">
        <f>Source!HK191</f>
        <v>0</v>
      </c>
      <c r="AI449">
        <f>Source!Y191</f>
        <v>0</v>
      </c>
      <c r="AJ449">
        <f>Source!HL191</f>
        <v>0</v>
      </c>
      <c r="AS449">
        <f>IF(Source!BI191&lt;=1,AH449, 0)</f>
        <v>0</v>
      </c>
      <c r="AT449">
        <f>IF(Source!BI191&lt;=1,AJ449, 0)</f>
        <v>0</v>
      </c>
      <c r="BC449">
        <f>IF(Source!BI191=2,AH449, 0)</f>
        <v>0</v>
      </c>
      <c r="BD449">
        <f>IF(Source!BI191=2,AJ449, 0)</f>
        <v>0</v>
      </c>
    </row>
    <row r="451" spans="1:61">
      <c r="C451" s="32" t="str">
        <f>"Объем: "&amp;Source!K191&amp;"=3*"&amp;"2,1+"&amp;"4,5*"&amp;"1,6"</f>
        <v>Объем: 13,5=3*2,1+4,5*1,6</v>
      </c>
    </row>
    <row r="452" spans="1:61" ht="14.25">
      <c r="A452" s="57"/>
      <c r="B452" s="58">
        <v>3</v>
      </c>
      <c r="C452" s="57" t="s">
        <v>805</v>
      </c>
      <c r="D452" s="42"/>
      <c r="E452" s="38"/>
      <c r="F452" s="38"/>
      <c r="G452" s="38"/>
      <c r="H452" s="35">
        <f>Source!AM191</f>
        <v>42.6</v>
      </c>
      <c r="I452" s="43"/>
      <c r="J452" s="35">
        <f>ROUND(Source!AD191*Source!I191, 2)</f>
        <v>575.1</v>
      </c>
      <c r="K452" s="43"/>
      <c r="L452" s="35"/>
    </row>
    <row r="453" spans="1:61" ht="14.25">
      <c r="A453" s="57"/>
      <c r="B453" s="57"/>
      <c r="C453" s="57" t="s">
        <v>795</v>
      </c>
      <c r="D453" s="42" t="s">
        <v>796</v>
      </c>
      <c r="E453" s="38">
        <f>Source!AQ191</f>
        <v>0.57769999999999999</v>
      </c>
      <c r="F453" s="38"/>
      <c r="G453" s="38">
        <f>ROUND(Source!U191, 7)</f>
        <v>7.7989499999999996</v>
      </c>
      <c r="H453" s="35"/>
      <c r="I453" s="43"/>
      <c r="J453" s="35"/>
      <c r="K453" s="43"/>
      <c r="L453" s="35"/>
    </row>
    <row r="454" spans="1:61" ht="14.25">
      <c r="A454" s="57"/>
      <c r="B454" s="57"/>
      <c r="C454" s="59" t="s">
        <v>807</v>
      </c>
      <c r="D454" s="44" t="s">
        <v>796</v>
      </c>
      <c r="E454" s="45">
        <f>Source!AR191</f>
        <v>0.28999999999999998</v>
      </c>
      <c r="F454" s="45"/>
      <c r="G454" s="45">
        <f>ROUND(Source!V191, 7)</f>
        <v>3.915</v>
      </c>
      <c r="H454" s="46"/>
      <c r="I454" s="47"/>
      <c r="J454" s="46"/>
      <c r="K454" s="47"/>
      <c r="L454" s="46"/>
    </row>
    <row r="455" spans="1:61" ht="14.25">
      <c r="A455" s="59"/>
      <c r="B455" s="59"/>
      <c r="C455" s="59" t="s">
        <v>797</v>
      </c>
      <c r="D455" s="44"/>
      <c r="E455" s="45"/>
      <c r="F455" s="45"/>
      <c r="G455" s="45"/>
      <c r="H455" s="46">
        <f>H452</f>
        <v>42.6</v>
      </c>
      <c r="I455" s="47"/>
      <c r="J455" s="46">
        <f>J452</f>
        <v>575.1</v>
      </c>
      <c r="K455" s="47"/>
      <c r="L455" s="46"/>
    </row>
    <row r="456" spans="1:61" ht="15">
      <c r="C456" s="108" t="s">
        <v>802</v>
      </c>
      <c r="D456" s="108"/>
      <c r="E456" s="108"/>
      <c r="F456" s="108"/>
      <c r="G456" s="108"/>
      <c r="H456" s="108"/>
      <c r="I456" s="108">
        <f>J452</f>
        <v>575.1</v>
      </c>
      <c r="J456" s="108"/>
      <c r="O456" s="33">
        <f>I456</f>
        <v>575.1</v>
      </c>
      <c r="P456">
        <f>K456</f>
        <v>0</v>
      </c>
      <c r="R456">
        <f>0</f>
        <v>0</v>
      </c>
      <c r="V456">
        <f>0</f>
        <v>0</v>
      </c>
      <c r="W456">
        <f>0</f>
        <v>0</v>
      </c>
      <c r="Y456">
        <f>0</f>
        <v>0</v>
      </c>
      <c r="AA456">
        <f>0</f>
        <v>0</v>
      </c>
      <c r="AC456" s="33">
        <f>J452</f>
        <v>575.1</v>
      </c>
      <c r="AE456" s="33">
        <f>L452</f>
        <v>0</v>
      </c>
      <c r="AF456">
        <f>0</f>
        <v>0</v>
      </c>
      <c r="AO456">
        <f>IF(Source!BI191&lt;=1,0, 0)</f>
        <v>0</v>
      </c>
      <c r="AR456">
        <f>IF(Source!BI191&lt;=1,J452, 0)</f>
        <v>575.1</v>
      </c>
      <c r="AY456">
        <f>IF(Source!BI191=2,0, 0)</f>
        <v>0</v>
      </c>
      <c r="BB456">
        <f>IF(Source!BI191=2,J452, 0)</f>
        <v>0</v>
      </c>
      <c r="BI456">
        <f>IF(Source!BI191=3,J452, 0)</f>
        <v>0</v>
      </c>
    </row>
    <row r="457" spans="1:61" ht="57">
      <c r="A457" s="57">
        <v>32</v>
      </c>
      <c r="B457" s="57" t="str">
        <f>Source!F192</f>
        <v>т03-21-01-010</v>
      </c>
      <c r="C457" s="57" t="str">
        <f>Source!G192</f>
        <v>Перевозка грузов I класса автомобилями-самосвалами грузоподъемностью 10 т работающих вне карьера на расстояние до 10 км</v>
      </c>
      <c r="D457" s="42" t="str">
        <f>Source!H192</f>
        <v>1 Т ГРУЗА</v>
      </c>
      <c r="E457" s="38">
        <f>Source!K192</f>
        <v>13.5</v>
      </c>
      <c r="F457" s="38"/>
      <c r="G457" s="38">
        <f>Source!I192</f>
        <v>13.5</v>
      </c>
      <c r="H457" s="35"/>
      <c r="I457" s="43"/>
      <c r="J457" s="35"/>
      <c r="K457" s="43"/>
      <c r="L457" s="35"/>
      <c r="AG457">
        <f>Source!X192</f>
        <v>0</v>
      </c>
      <c r="AH457">
        <f>Source!HK192</f>
        <v>0</v>
      </c>
      <c r="AI457">
        <f>Source!Y192</f>
        <v>0</v>
      </c>
      <c r="AJ457">
        <f>Source!HL192</f>
        <v>0</v>
      </c>
      <c r="AS457">
        <f>IF(Source!BI192&lt;=1,AH457, 0)</f>
        <v>0</v>
      </c>
      <c r="AT457">
        <f>IF(Source!BI192&lt;=1,AJ457, 0)</f>
        <v>0</v>
      </c>
      <c r="BC457">
        <f>IF(Source!BI192=2,AH457, 0)</f>
        <v>0</v>
      </c>
      <c r="BD457">
        <f>IF(Source!BI192=2,AJ457, 0)</f>
        <v>0</v>
      </c>
    </row>
    <row r="459" spans="1:61" ht="14.25">
      <c r="A459" s="57"/>
      <c r="B459" s="58">
        <v>3</v>
      </c>
      <c r="C459" s="59" t="s">
        <v>805</v>
      </c>
      <c r="D459" s="44"/>
      <c r="E459" s="45"/>
      <c r="F459" s="45"/>
      <c r="G459" s="45"/>
      <c r="H459" s="46">
        <f>Source!AM192</f>
        <v>10.72</v>
      </c>
      <c r="I459" s="47"/>
      <c r="J459" s="46">
        <f>ROUND(Source!AD192*Source!I192, 2)</f>
        <v>144.72</v>
      </c>
      <c r="K459" s="47"/>
      <c r="L459" s="46"/>
    </row>
    <row r="460" spans="1:61" ht="14.25">
      <c r="A460" s="59"/>
      <c r="B460" s="59"/>
      <c r="C460" s="59" t="s">
        <v>797</v>
      </c>
      <c r="D460" s="44"/>
      <c r="E460" s="45"/>
      <c r="F460" s="45"/>
      <c r="G460" s="45"/>
      <c r="H460" s="46">
        <f>H459</f>
        <v>10.72</v>
      </c>
      <c r="I460" s="47"/>
      <c r="J460" s="46">
        <f>J459</f>
        <v>144.72</v>
      </c>
      <c r="K460" s="47"/>
      <c r="L460" s="46"/>
    </row>
    <row r="461" spans="1:61" ht="15">
      <c r="C461" s="108" t="s">
        <v>802</v>
      </c>
      <c r="D461" s="108"/>
      <c r="E461" s="108"/>
      <c r="F461" s="108"/>
      <c r="G461" s="108"/>
      <c r="H461" s="108"/>
      <c r="I461" s="108">
        <f>J459</f>
        <v>144.72</v>
      </c>
      <c r="J461" s="108"/>
      <c r="O461" s="33">
        <f>I461</f>
        <v>144.72</v>
      </c>
      <c r="P461">
        <f>K461</f>
        <v>0</v>
      </c>
      <c r="R461">
        <f>0</f>
        <v>0</v>
      </c>
      <c r="V461">
        <f>0</f>
        <v>0</v>
      </c>
      <c r="W461">
        <f>0</f>
        <v>0</v>
      </c>
      <c r="Y461">
        <f>0</f>
        <v>0</v>
      </c>
      <c r="AA461">
        <f>0</f>
        <v>0</v>
      </c>
      <c r="AC461" s="33">
        <f>J459</f>
        <v>144.72</v>
      </c>
      <c r="AE461" s="33">
        <f>L459</f>
        <v>0</v>
      </c>
      <c r="AF461">
        <f>0</f>
        <v>0</v>
      </c>
      <c r="AO461">
        <f>IF(Source!BI192&lt;=1,0, 0)</f>
        <v>0</v>
      </c>
      <c r="AR461">
        <f>IF(Source!BI192&lt;=1,J459, 0)</f>
        <v>144.72</v>
      </c>
      <c r="AY461">
        <f>IF(Source!BI192=2,0, 0)</f>
        <v>0</v>
      </c>
      <c r="BB461">
        <f>IF(Source!BI192=2,J459, 0)</f>
        <v>0</v>
      </c>
      <c r="BI461">
        <f>IF(Source!BI192=3,J459, 0)</f>
        <v>0</v>
      </c>
    </row>
    <row r="462" spans="1:61" ht="147.75">
      <c r="A462" s="57">
        <v>33</v>
      </c>
      <c r="B462" s="57" t="str">
        <f>Source!F198</f>
        <v>27-04-007-1</v>
      </c>
      <c r="C462" s="57" t="s">
        <v>861</v>
      </c>
      <c r="D462" s="42" t="str">
        <f>Source!H198</f>
        <v>1000 м2 основания</v>
      </c>
      <c r="E462" s="38">
        <f>Source!K198</f>
        <v>3.4500000000000003E-2</v>
      </c>
      <c r="F462" s="38"/>
      <c r="G462" s="38">
        <f>Source!I198</f>
        <v>3.4500000000000003E-2</v>
      </c>
      <c r="H462" s="35"/>
      <c r="I462" s="43"/>
      <c r="J462" s="35"/>
      <c r="K462" s="43"/>
      <c r="L462" s="35"/>
      <c r="AG462">
        <f>Source!X198</f>
        <v>52.6</v>
      </c>
      <c r="AH462">
        <f>Source!HK198</f>
        <v>1521.61</v>
      </c>
      <c r="AI462">
        <f>Source!Y198</f>
        <v>33.99</v>
      </c>
      <c r="AJ462">
        <f>Source!HL198</f>
        <v>983.35</v>
      </c>
      <c r="AS462">
        <f>IF(Source!BI198&lt;=1,AH462, 0)</f>
        <v>1521.61</v>
      </c>
      <c r="AT462">
        <f>IF(Source!BI198&lt;=1,AJ462, 0)</f>
        <v>983.35</v>
      </c>
      <c r="BC462">
        <f>IF(Source!BI198=2,AH462, 0)</f>
        <v>0</v>
      </c>
      <c r="BD462">
        <f>IF(Source!BI198=2,AJ462, 0)</f>
        <v>0</v>
      </c>
    </row>
    <row r="464" spans="1:61">
      <c r="C464" s="32" t="str">
        <f>"Объем: "&amp;Source!K198&amp;"=34,5/"&amp;"1000"</f>
        <v>Объем: 0,0345=34,5/1000</v>
      </c>
    </row>
    <row r="465" spans="1:56" ht="14.25">
      <c r="A465" s="57"/>
      <c r="B465" s="58">
        <v>1</v>
      </c>
      <c r="C465" s="57" t="s">
        <v>794</v>
      </c>
      <c r="D465" s="42"/>
      <c r="E465" s="38"/>
      <c r="F465" s="38"/>
      <c r="G465" s="38"/>
      <c r="H465" s="35">
        <f>Source!AO198</f>
        <v>293.45999999999998</v>
      </c>
      <c r="I465" s="43">
        <f>ROUND(1.2*1.15,7)</f>
        <v>1.38</v>
      </c>
      <c r="J465" s="35">
        <f>ROUND(Source!AF198*Source!I198, 2)</f>
        <v>13.97</v>
      </c>
      <c r="K465" s="43">
        <f>IF(Source!BA198&lt;&gt; 0, Source!BA198, 1)</f>
        <v>28.93</v>
      </c>
      <c r="L465" s="35">
        <f>Source!HJ198</f>
        <v>404.15</v>
      </c>
    </row>
    <row r="466" spans="1:56" ht="14.25">
      <c r="A466" s="57"/>
      <c r="B466" s="58">
        <v>3</v>
      </c>
      <c r="C466" s="57" t="s">
        <v>805</v>
      </c>
      <c r="D466" s="42"/>
      <c r="E466" s="38"/>
      <c r="F466" s="38"/>
      <c r="G466" s="38"/>
      <c r="H466" s="35">
        <f>Source!AM198</f>
        <v>4344.57</v>
      </c>
      <c r="I466" s="43">
        <f>ROUND(1.2*1.15,7)</f>
        <v>1.38</v>
      </c>
      <c r="J466" s="35">
        <f>ROUND(Source!AD198*Source!I198, 2)</f>
        <v>206.85</v>
      </c>
      <c r="K466" s="43"/>
      <c r="L466" s="35"/>
    </row>
    <row r="467" spans="1:56" ht="14.25">
      <c r="A467" s="57"/>
      <c r="B467" s="58">
        <v>2</v>
      </c>
      <c r="C467" s="57" t="s">
        <v>806</v>
      </c>
      <c r="D467" s="42"/>
      <c r="E467" s="38"/>
      <c r="F467" s="38"/>
      <c r="G467" s="38"/>
      <c r="H467" s="35">
        <f>Source!AN198</f>
        <v>458.07</v>
      </c>
      <c r="I467" s="43">
        <f>ROUND(1.2*1.15,7)</f>
        <v>1.38</v>
      </c>
      <c r="J467" s="48">
        <f>ROUND(Source!AE198*Source!I198, 2)</f>
        <v>21.81</v>
      </c>
      <c r="K467" s="43">
        <f>IF(Source!BS198&lt;&gt; 0, Source!BS198, 1)</f>
        <v>28.93</v>
      </c>
      <c r="L467" s="48">
        <f>Source!HI198</f>
        <v>630.96</v>
      </c>
    </row>
    <row r="468" spans="1:56" ht="14.25">
      <c r="A468" s="57"/>
      <c r="B468" s="58">
        <v>4</v>
      </c>
      <c r="C468" s="57" t="s">
        <v>813</v>
      </c>
      <c r="D468" s="42"/>
      <c r="E468" s="38"/>
      <c r="F468" s="38"/>
      <c r="G468" s="38"/>
      <c r="H468" s="35">
        <f>Source!AL198</f>
        <v>42600.45</v>
      </c>
      <c r="I468" s="43"/>
      <c r="J468" s="35">
        <f>ROUND(Source!AC198*Source!I198, 2)</f>
        <v>1469.72</v>
      </c>
      <c r="K468" s="43"/>
      <c r="L468" s="35"/>
    </row>
    <row r="469" spans="1:56" ht="14.25">
      <c r="A469" s="57"/>
      <c r="B469" s="57"/>
      <c r="C469" s="57" t="s">
        <v>795</v>
      </c>
      <c r="D469" s="42" t="s">
        <v>796</v>
      </c>
      <c r="E469" s="38">
        <f>Source!AQ198</f>
        <v>36.96</v>
      </c>
      <c r="F469" s="38">
        <f>ROUND(1.2*1.15,7)</f>
        <v>1.38</v>
      </c>
      <c r="G469" s="38">
        <f>ROUND(Source!U198, 7)</f>
        <v>1.7596655999999999</v>
      </c>
      <c r="H469" s="35"/>
      <c r="I469" s="43"/>
      <c r="J469" s="35"/>
      <c r="K469" s="43"/>
      <c r="L469" s="35"/>
    </row>
    <row r="470" spans="1:56" ht="14.25">
      <c r="A470" s="57"/>
      <c r="B470" s="57"/>
      <c r="C470" s="59" t="s">
        <v>807</v>
      </c>
      <c r="D470" s="44" t="s">
        <v>796</v>
      </c>
      <c r="E470" s="45">
        <f>Source!AR198</f>
        <v>36.24</v>
      </c>
      <c r="F470" s="45">
        <f>ROUND(1.2*1.15,7)</f>
        <v>1.38</v>
      </c>
      <c r="G470" s="45">
        <f>ROUND(Source!V198, 7)</f>
        <v>1.7253864000000001</v>
      </c>
      <c r="H470" s="46"/>
      <c r="I470" s="47"/>
      <c r="J470" s="46"/>
      <c r="K470" s="47"/>
      <c r="L470" s="46"/>
    </row>
    <row r="471" spans="1:56" ht="14.25">
      <c r="A471" s="57"/>
      <c r="B471" s="57"/>
      <c r="C471" s="57" t="s">
        <v>797</v>
      </c>
      <c r="D471" s="42"/>
      <c r="E471" s="38"/>
      <c r="F471" s="38"/>
      <c r="G471" s="38"/>
      <c r="H471" s="35">
        <f>H465+H466+H468</f>
        <v>47238.479999999996</v>
      </c>
      <c r="I471" s="43"/>
      <c r="J471" s="35">
        <f>J465+J466+J468</f>
        <v>1690.54</v>
      </c>
      <c r="K471" s="43"/>
      <c r="L471" s="35"/>
    </row>
    <row r="472" spans="1:56" ht="57">
      <c r="A472" s="57" t="s">
        <v>295</v>
      </c>
      <c r="B472" s="57" t="str">
        <f>Source!F199</f>
        <v>408-0020</v>
      </c>
      <c r="C472" s="57" t="s">
        <v>862</v>
      </c>
      <c r="D472" s="42" t="str">
        <f>Source!H199</f>
        <v>м3</v>
      </c>
      <c r="E472" s="38">
        <f>SmtRes!AT193</f>
        <v>-189</v>
      </c>
      <c r="F472" s="38"/>
      <c r="G472" s="38">
        <f>Source!I199</f>
        <v>-6.5205000000000002</v>
      </c>
      <c r="H472" s="35">
        <f>Source!AL199+Source!AO199+Source!AM199</f>
        <v>199.6</v>
      </c>
      <c r="I472" s="43"/>
      <c r="J472" s="35">
        <f>ROUND(Source!AC199*Source!I199, 2)+ROUND(Source!AD199*Source!I199, 2)+ROUND(Source!AF199*Source!I199, 2)</f>
        <v>-1301.49</v>
      </c>
      <c r="K472" s="43"/>
      <c r="L472" s="35"/>
      <c r="AF472" s="33">
        <f>J472</f>
        <v>-1301.49</v>
      </c>
      <c r="AG472">
        <f>Source!X199</f>
        <v>0</v>
      </c>
      <c r="AH472">
        <f>Source!HK199</f>
        <v>0</v>
      </c>
      <c r="AI472">
        <f>Source!Y199</f>
        <v>0</v>
      </c>
      <c r="AJ472">
        <f>Source!HL199</f>
        <v>0</v>
      </c>
      <c r="AN472">
        <f>IF(Source!BI199&lt;=1,J472, 0)</f>
        <v>-1301.49</v>
      </c>
      <c r="AO472">
        <f>IF(Source!BI199&lt;=1,J472, 0)</f>
        <v>-1301.49</v>
      </c>
      <c r="AS472">
        <f>IF(Source!BI199&lt;=1,AH472, 0)</f>
        <v>0</v>
      </c>
      <c r="AT472">
        <f>IF(Source!BI199&lt;=1,AJ472, 0)</f>
        <v>0</v>
      </c>
      <c r="AX472">
        <f>IF(Source!BI199=2,J472, 0)</f>
        <v>0</v>
      </c>
      <c r="AY472">
        <f>IF(Source!BI199=2,J472, 0)</f>
        <v>0</v>
      </c>
      <c r="BC472">
        <f>IF(Source!BI199=2,AH472, 0)</f>
        <v>0</v>
      </c>
      <c r="BD472">
        <f>IF(Source!BI199=2,AJ472, 0)</f>
        <v>0</v>
      </c>
    </row>
    <row r="473" spans="1:56" ht="57">
      <c r="A473" s="57" t="s">
        <v>303</v>
      </c>
      <c r="B473" s="57" t="str">
        <f>Source!F200</f>
        <v>408-0018</v>
      </c>
      <c r="C473" s="57" t="s">
        <v>863</v>
      </c>
      <c r="D473" s="42" t="str">
        <f>Source!H200</f>
        <v>м3</v>
      </c>
      <c r="E473" s="38">
        <f>SmtRes!AT192</f>
        <v>-15</v>
      </c>
      <c r="F473" s="38"/>
      <c r="G473" s="38">
        <f>Source!I200</f>
        <v>-0.51749999999999996</v>
      </c>
      <c r="H473" s="35">
        <f>Source!AL200+Source!AO200+Source!AM200</f>
        <v>312.47000000000003</v>
      </c>
      <c r="I473" s="43"/>
      <c r="J473" s="35">
        <f>ROUND(Source!AC200*Source!I200, 2)+ROUND(Source!AD200*Source!I200, 2)+ROUND(Source!AF200*Source!I200, 2)</f>
        <v>-161.69999999999999</v>
      </c>
      <c r="K473" s="43"/>
      <c r="L473" s="35"/>
      <c r="AF473" s="33">
        <f>J473</f>
        <v>-161.69999999999999</v>
      </c>
      <c r="AG473">
        <f>Source!X200</f>
        <v>0</v>
      </c>
      <c r="AH473">
        <f>Source!HK200</f>
        <v>0</v>
      </c>
      <c r="AI473">
        <f>Source!Y200</f>
        <v>0</v>
      </c>
      <c r="AJ473">
        <f>Source!HL200</f>
        <v>0</v>
      </c>
      <c r="AN473">
        <f>IF(Source!BI200&lt;=1,J473, 0)</f>
        <v>-161.69999999999999</v>
      </c>
      <c r="AO473">
        <f>IF(Source!BI200&lt;=1,J473, 0)</f>
        <v>-161.69999999999999</v>
      </c>
      <c r="AS473">
        <f>IF(Source!BI200&lt;=1,AH473, 0)</f>
        <v>0</v>
      </c>
      <c r="AT473">
        <f>IF(Source!BI200&lt;=1,AJ473, 0)</f>
        <v>0</v>
      </c>
      <c r="AX473">
        <f>IF(Source!BI200=2,J473, 0)</f>
        <v>0</v>
      </c>
      <c r="AY473">
        <f>IF(Source!BI200=2,J473, 0)</f>
        <v>0</v>
      </c>
      <c r="BC473">
        <f>IF(Source!BI200=2,AH473, 0)</f>
        <v>0</v>
      </c>
      <c r="BD473">
        <f>IF(Source!BI200=2,AJ473, 0)</f>
        <v>0</v>
      </c>
    </row>
    <row r="474" spans="1:56" ht="14.25">
      <c r="A474" s="57"/>
      <c r="B474" s="57"/>
      <c r="C474" s="57" t="s">
        <v>798</v>
      </c>
      <c r="D474" s="42"/>
      <c r="E474" s="38"/>
      <c r="F474" s="38"/>
      <c r="G474" s="38"/>
      <c r="H474" s="35"/>
      <c r="I474" s="43"/>
      <c r="J474" s="35">
        <f>SUM(Q462:Q477)+SUM(V462:V477)+SUM(X462:X477)+SUM(Y462:Y477)</f>
        <v>35.78</v>
      </c>
      <c r="K474" s="43"/>
      <c r="L474" s="35">
        <f>SUM(U462:U477)+SUM(W462:W477)+SUM(Z462:Z477)+SUM(AA462:AA477)</f>
        <v>1035.1100000000001</v>
      </c>
    </row>
    <row r="475" spans="1:56" ht="14.25">
      <c r="A475" s="57"/>
      <c r="B475" s="57" t="s">
        <v>256</v>
      </c>
      <c r="C475" s="57" t="s">
        <v>858</v>
      </c>
      <c r="D475" s="42" t="s">
        <v>800</v>
      </c>
      <c r="E475" s="38">
        <f>Source!BZ198</f>
        <v>147</v>
      </c>
      <c r="F475" s="38"/>
      <c r="G475" s="38">
        <f>Source!AT198</f>
        <v>147</v>
      </c>
      <c r="H475" s="35"/>
      <c r="I475" s="43"/>
      <c r="J475" s="35">
        <f>SUM(AG462:AG477)</f>
        <v>52.6</v>
      </c>
      <c r="K475" s="43"/>
      <c r="L475" s="35">
        <f>SUM(AH462:AH477)</f>
        <v>1521.61</v>
      </c>
    </row>
    <row r="476" spans="1:56" ht="14.25">
      <c r="A476" s="59"/>
      <c r="B476" s="59" t="s">
        <v>257</v>
      </c>
      <c r="C476" s="59" t="s">
        <v>859</v>
      </c>
      <c r="D476" s="44" t="s">
        <v>800</v>
      </c>
      <c r="E476" s="45">
        <f>Source!CA198</f>
        <v>95</v>
      </c>
      <c r="F476" s="45"/>
      <c r="G476" s="45">
        <f>Source!AU198</f>
        <v>95</v>
      </c>
      <c r="H476" s="46"/>
      <c r="I476" s="47"/>
      <c r="J476" s="46">
        <f>SUM(AI462:AI477)</f>
        <v>33.99</v>
      </c>
      <c r="K476" s="47"/>
      <c r="L476" s="46">
        <f>SUM(AJ462:AJ477)</f>
        <v>983.35</v>
      </c>
    </row>
    <row r="477" spans="1:56" ht="15">
      <c r="C477" s="108" t="s">
        <v>802</v>
      </c>
      <c r="D477" s="108"/>
      <c r="E477" s="108"/>
      <c r="F477" s="108"/>
      <c r="G477" s="108"/>
      <c r="H477" s="108"/>
      <c r="I477" s="108">
        <f>J465+J466+J468+J475+J476+SUM(J472:J473)</f>
        <v>313.93999999999983</v>
      </c>
      <c r="J477" s="108"/>
      <c r="O477" s="33">
        <f>I477</f>
        <v>313.93999999999983</v>
      </c>
      <c r="P477">
        <f>K477</f>
        <v>0</v>
      </c>
      <c r="Q477" s="33">
        <f>J465</f>
        <v>13.97</v>
      </c>
      <c r="R477" s="33">
        <f>J465</f>
        <v>13.97</v>
      </c>
      <c r="U477" s="33">
        <f>L465</f>
        <v>404.15</v>
      </c>
      <c r="X477" s="33">
        <f>J467</f>
        <v>21.81</v>
      </c>
      <c r="Z477" s="33">
        <f>L467</f>
        <v>630.96</v>
      </c>
      <c r="AB477" s="33">
        <f>J466</f>
        <v>206.85</v>
      </c>
      <c r="AD477" s="33">
        <f>L466</f>
        <v>0</v>
      </c>
      <c r="AF477" s="33">
        <f>J468</f>
        <v>1469.72</v>
      </c>
      <c r="AN477">
        <f>IF(Source!BI198&lt;=1,J465+J466+J468+J475+J476, 0)</f>
        <v>1777.1299999999999</v>
      </c>
      <c r="AO477">
        <f>IF(Source!BI198&lt;=1,J468, 0)</f>
        <v>1469.72</v>
      </c>
      <c r="AP477">
        <f>IF(Source!BI198&lt;=1,J466, 0)</f>
        <v>206.85</v>
      </c>
      <c r="AQ477">
        <f>IF(Source!BI198&lt;=1,J465, 0)</f>
        <v>13.97</v>
      </c>
      <c r="AX477">
        <f>IF(Source!BI198=2,J465+J466+J468+J475+J476, 0)</f>
        <v>0</v>
      </c>
      <c r="AY477">
        <f>IF(Source!BI198=2,J468, 0)</f>
        <v>0</v>
      </c>
      <c r="AZ477">
        <f>IF(Source!BI198=2,J466, 0)</f>
        <v>0</v>
      </c>
      <c r="BA477">
        <f>IF(Source!BI198=2,J465, 0)</f>
        <v>0</v>
      </c>
    </row>
    <row r="478" spans="1:56" ht="146.25">
      <c r="A478" s="57">
        <v>34</v>
      </c>
      <c r="B478" s="57" t="str">
        <f>Source!F201</f>
        <v>27-04-007-4</v>
      </c>
      <c r="C478" s="57" t="s">
        <v>864</v>
      </c>
      <c r="D478" s="42" t="str">
        <f>Source!H201</f>
        <v>1000 м2 основания</v>
      </c>
      <c r="E478" s="38">
        <f>Source!K201</f>
        <v>3.4500000000000003E-2</v>
      </c>
      <c r="F478" s="38"/>
      <c r="G478" s="38">
        <f>Source!I201</f>
        <v>3.4500000000000003E-2</v>
      </c>
      <c r="H478" s="35"/>
      <c r="I478" s="43"/>
      <c r="J478" s="35"/>
      <c r="K478" s="43"/>
      <c r="L478" s="35"/>
      <c r="AG478">
        <f>Source!X201</f>
        <v>10.25</v>
      </c>
      <c r="AH478">
        <f>Source!HK201</f>
        <v>296.41000000000003</v>
      </c>
      <c r="AI478">
        <f>Source!Y201</f>
        <v>9.34</v>
      </c>
      <c r="AJ478">
        <f>Source!HL201</f>
        <v>270.2</v>
      </c>
      <c r="AS478">
        <f>IF(Source!BI201&lt;=1,AH478, 0)</f>
        <v>296.41000000000003</v>
      </c>
      <c r="AT478">
        <f>IF(Source!BI201&lt;=1,AJ478, 0)</f>
        <v>270.2</v>
      </c>
      <c r="BC478">
        <f>IF(Source!BI201=2,AH478, 0)</f>
        <v>0</v>
      </c>
      <c r="BD478">
        <f>IF(Source!BI201=2,AJ478, 0)</f>
        <v>0</v>
      </c>
    </row>
    <row r="480" spans="1:56">
      <c r="C480" s="32" t="str">
        <f>"Объем: "&amp;Source!K201&amp;"=34,5/"&amp;"1000"</f>
        <v>Объем: 0,0345=34,5/1000</v>
      </c>
    </row>
    <row r="481" spans="1:71" ht="14.25">
      <c r="A481" s="57"/>
      <c r="B481" s="58">
        <v>3</v>
      </c>
      <c r="C481" s="57" t="s">
        <v>805</v>
      </c>
      <c r="D481" s="42"/>
      <c r="E481" s="38"/>
      <c r="F481" s="38"/>
      <c r="G481" s="38"/>
      <c r="H481" s="35">
        <f>Source!AM201</f>
        <v>277.08</v>
      </c>
      <c r="I481" s="43">
        <f>ROUND(1.2*1.15*5,7)</f>
        <v>6.9</v>
      </c>
      <c r="J481" s="35">
        <f>ROUND(Source!AD201*Source!I201, 2)</f>
        <v>65.959999999999994</v>
      </c>
      <c r="K481" s="43"/>
      <c r="L481" s="35"/>
    </row>
    <row r="482" spans="1:71" ht="14.25">
      <c r="A482" s="57"/>
      <c r="B482" s="58">
        <v>2</v>
      </c>
      <c r="C482" s="57" t="s">
        <v>806</v>
      </c>
      <c r="D482" s="42"/>
      <c r="E482" s="38"/>
      <c r="F482" s="38"/>
      <c r="G482" s="38"/>
      <c r="H482" s="35">
        <f>Source!AN201</f>
        <v>29.29</v>
      </c>
      <c r="I482" s="43">
        <f>ROUND(1.2*1.15*5,7)</f>
        <v>6.9</v>
      </c>
      <c r="J482" s="48">
        <f>ROUND(Source!AE201*Source!I201, 2)</f>
        <v>6.97</v>
      </c>
      <c r="K482" s="43">
        <f>IF(Source!BS201&lt;&gt; 0, Source!BS201, 1)</f>
        <v>28.93</v>
      </c>
      <c r="L482" s="48">
        <f>Source!HI201</f>
        <v>201.64</v>
      </c>
    </row>
    <row r="483" spans="1:71" ht="14.25">
      <c r="A483" s="57"/>
      <c r="B483" s="58">
        <v>4</v>
      </c>
      <c r="C483" s="57" t="s">
        <v>813</v>
      </c>
      <c r="D483" s="42"/>
      <c r="E483" s="38"/>
      <c r="F483" s="38"/>
      <c r="G483" s="38"/>
      <c r="H483" s="35">
        <f>Source!AL201</f>
        <v>2514.96</v>
      </c>
      <c r="I483" s="43">
        <f>ROUND(5,7)</f>
        <v>5</v>
      </c>
      <c r="J483" s="35">
        <f>ROUND(Source!AC201*Source!I201, 2)</f>
        <v>433.83</v>
      </c>
      <c r="K483" s="43"/>
      <c r="L483" s="35"/>
    </row>
    <row r="484" spans="1:71" ht="14.25">
      <c r="A484" s="57"/>
      <c r="B484" s="57"/>
      <c r="C484" s="59" t="s">
        <v>807</v>
      </c>
      <c r="D484" s="44" t="s">
        <v>796</v>
      </c>
      <c r="E484" s="45">
        <f>Source!AR201</f>
        <v>2.5099999999999998</v>
      </c>
      <c r="F484" s="45">
        <f>ROUND(1.2*1.15*5,7)</f>
        <v>6.9</v>
      </c>
      <c r="G484" s="45">
        <f>ROUND(Source!V201, 7)</f>
        <v>0.59750550000000002</v>
      </c>
      <c r="H484" s="46"/>
      <c r="I484" s="47"/>
      <c r="J484" s="46"/>
      <c r="K484" s="47"/>
      <c r="L484" s="46"/>
    </row>
    <row r="485" spans="1:71" ht="14.25">
      <c r="A485" s="57"/>
      <c r="B485" s="57"/>
      <c r="C485" s="57" t="s">
        <v>797</v>
      </c>
      <c r="D485" s="42"/>
      <c r="E485" s="38"/>
      <c r="F485" s="38"/>
      <c r="G485" s="38"/>
      <c r="H485" s="35">
        <f>H481+H483</f>
        <v>2792.04</v>
      </c>
      <c r="I485" s="43"/>
      <c r="J485" s="35">
        <f>J481+J483</f>
        <v>499.78999999999996</v>
      </c>
      <c r="K485" s="43"/>
      <c r="L485" s="35"/>
    </row>
    <row r="486" spans="1:71" ht="57">
      <c r="A486" s="57" t="s">
        <v>313</v>
      </c>
      <c r="B486" s="57" t="str">
        <f>Source!F202</f>
        <v>408-0020</v>
      </c>
      <c r="C486" s="57" t="s">
        <v>862</v>
      </c>
      <c r="D486" s="42" t="str">
        <f>Source!H202</f>
        <v>м3</v>
      </c>
      <c r="E486" s="38">
        <f>SmtRes!AT199</f>
        <v>-12.6</v>
      </c>
      <c r="F486" s="38">
        <f>ROUND(5,7)</f>
        <v>5</v>
      </c>
      <c r="G486" s="38">
        <f>Source!I202</f>
        <v>-2.1735000000000002</v>
      </c>
      <c r="H486" s="35">
        <f>Source!AL202+Source!AO202+Source!AM202</f>
        <v>199.6</v>
      </c>
      <c r="I486" s="43"/>
      <c r="J486" s="35">
        <f>ROUND(Source!AC202*Source!I202, 2)+ROUND(Source!AD202*Source!I202, 2)+ROUND(Source!AF202*Source!I202, 2)</f>
        <v>-433.83</v>
      </c>
      <c r="K486" s="43"/>
      <c r="L486" s="35"/>
      <c r="AF486" s="33">
        <f>J486</f>
        <v>-433.83</v>
      </c>
      <c r="AG486">
        <f>Source!X202</f>
        <v>0</v>
      </c>
      <c r="AH486">
        <f>Source!HK202</f>
        <v>0</v>
      </c>
      <c r="AI486">
        <f>Source!Y202</f>
        <v>0</v>
      </c>
      <c r="AJ486">
        <f>Source!HL202</f>
        <v>0</v>
      </c>
      <c r="AN486">
        <f>IF(Source!BI202&lt;=1,J486, 0)</f>
        <v>-433.83</v>
      </c>
      <c r="AO486">
        <f>IF(Source!BI202&lt;=1,J486, 0)</f>
        <v>-433.83</v>
      </c>
      <c r="AS486">
        <f>IF(Source!BI202&lt;=1,AH486, 0)</f>
        <v>0</v>
      </c>
      <c r="AT486">
        <f>IF(Source!BI202&lt;=1,AJ486, 0)</f>
        <v>0</v>
      </c>
      <c r="AX486">
        <f>IF(Source!BI202=2,J486, 0)</f>
        <v>0</v>
      </c>
      <c r="AY486">
        <f>IF(Source!BI202=2,J486, 0)</f>
        <v>0</v>
      </c>
      <c r="BC486">
        <f>IF(Source!BI202=2,AH486, 0)</f>
        <v>0</v>
      </c>
      <c r="BD486">
        <f>IF(Source!BI202=2,AJ486, 0)</f>
        <v>0</v>
      </c>
    </row>
    <row r="487" spans="1:71" ht="14.25">
      <c r="A487" s="57"/>
      <c r="B487" s="57"/>
      <c r="C487" s="57" t="s">
        <v>798</v>
      </c>
      <c r="D487" s="42"/>
      <c r="E487" s="38"/>
      <c r="F487" s="38"/>
      <c r="G487" s="38"/>
      <c r="H487" s="35"/>
      <c r="I487" s="43"/>
      <c r="J487" s="35">
        <f>SUM(Q478:Q490)+SUM(V478:V490)+SUM(X478:X490)+SUM(Y478:Y490)</f>
        <v>6.97</v>
      </c>
      <c r="K487" s="43"/>
      <c r="L487" s="35">
        <f>SUM(U478:U490)+SUM(W478:W490)+SUM(Z478:Z490)+SUM(AA478:AA490)</f>
        <v>201.64</v>
      </c>
    </row>
    <row r="488" spans="1:71" ht="14.25">
      <c r="A488" s="57"/>
      <c r="B488" s="57" t="s">
        <v>256</v>
      </c>
      <c r="C488" s="57" t="s">
        <v>858</v>
      </c>
      <c r="D488" s="42" t="s">
        <v>800</v>
      </c>
      <c r="E488" s="38">
        <f>Source!BZ201</f>
        <v>147</v>
      </c>
      <c r="F488" s="38"/>
      <c r="G488" s="38">
        <f>Source!AT201</f>
        <v>147</v>
      </c>
      <c r="H488" s="35"/>
      <c r="I488" s="43"/>
      <c r="J488" s="35">
        <f>SUM(AG478:AG490)</f>
        <v>10.25</v>
      </c>
      <c r="K488" s="43"/>
      <c r="L488" s="35">
        <f>SUM(AH478:AH490)</f>
        <v>296.41000000000003</v>
      </c>
    </row>
    <row r="489" spans="1:71" ht="14.25">
      <c r="A489" s="59"/>
      <c r="B489" s="59" t="s">
        <v>257</v>
      </c>
      <c r="C489" s="59" t="s">
        <v>859</v>
      </c>
      <c r="D489" s="44" t="s">
        <v>800</v>
      </c>
      <c r="E489" s="45">
        <f>Source!CA201</f>
        <v>134</v>
      </c>
      <c r="F489" s="45"/>
      <c r="G489" s="45">
        <f>Source!AU201</f>
        <v>134</v>
      </c>
      <c r="H489" s="46"/>
      <c r="I489" s="47"/>
      <c r="J489" s="46">
        <f>SUM(AI478:AI490)</f>
        <v>9.34</v>
      </c>
      <c r="K489" s="47"/>
      <c r="L489" s="46">
        <f>SUM(AJ478:AJ490)</f>
        <v>270.2</v>
      </c>
    </row>
    <row r="490" spans="1:71" ht="15">
      <c r="C490" s="108" t="s">
        <v>802</v>
      </c>
      <c r="D490" s="108"/>
      <c r="E490" s="108"/>
      <c r="F490" s="108"/>
      <c r="G490" s="108"/>
      <c r="H490" s="108"/>
      <c r="I490" s="108">
        <f>J481+J483+J488+J489+SUM(J486:J486)</f>
        <v>85.550000000000011</v>
      </c>
      <c r="J490" s="108"/>
      <c r="O490" s="33">
        <f>I490</f>
        <v>85.550000000000011</v>
      </c>
      <c r="P490">
        <f>K490</f>
        <v>0</v>
      </c>
      <c r="Q490">
        <f>0</f>
        <v>0</v>
      </c>
      <c r="R490">
        <f>0</f>
        <v>0</v>
      </c>
      <c r="U490">
        <f>0</f>
        <v>0</v>
      </c>
      <c r="X490" s="33">
        <f>J482</f>
        <v>6.97</v>
      </c>
      <c r="Z490" s="33">
        <f>L482</f>
        <v>201.64</v>
      </c>
      <c r="AB490" s="33">
        <f>J481</f>
        <v>65.959999999999994</v>
      </c>
      <c r="AD490" s="33">
        <f>L481</f>
        <v>0</v>
      </c>
      <c r="AF490" s="33">
        <f>J483</f>
        <v>433.83</v>
      </c>
      <c r="AN490">
        <f>IF(Source!BI201&lt;=1,J481+J483+J488+J489, 0)</f>
        <v>519.38</v>
      </c>
      <c r="AO490">
        <f>IF(Source!BI201&lt;=1,J483, 0)</f>
        <v>433.83</v>
      </c>
      <c r="AP490">
        <f>IF(Source!BI201&lt;=1,J481, 0)</f>
        <v>65.959999999999994</v>
      </c>
      <c r="AQ490">
        <f>IF(Source!BI201&lt;=1,0, 0)</f>
        <v>0</v>
      </c>
      <c r="AX490">
        <f>IF(Source!BI201=2,J481+J483+J488+J489, 0)</f>
        <v>0</v>
      </c>
      <c r="AY490">
        <f>IF(Source!BI201=2,J483, 0)</f>
        <v>0</v>
      </c>
      <c r="AZ490">
        <f>IF(Source!BI201=2,J481, 0)</f>
        <v>0</v>
      </c>
      <c r="BA490">
        <f>IF(Source!BI201=2,0, 0)</f>
        <v>0</v>
      </c>
    </row>
    <row r="491" spans="1:71" ht="42.75">
      <c r="A491" s="57">
        <v>35</v>
      </c>
      <c r="B491" s="57" t="str">
        <f>Source!F203</f>
        <v>прайс-лист</v>
      </c>
      <c r="C491" s="57" t="str">
        <f>Source!G203</f>
        <v>Щебень из природного камня для строительных работ марка 600, фракция 40-70 мм</v>
      </c>
      <c r="D491" s="42" t="str">
        <f>Source!H203</f>
        <v>м3</v>
      </c>
      <c r="E491" s="38">
        <f>Source!K203</f>
        <v>9.2114999999999991</v>
      </c>
      <c r="F491" s="38"/>
      <c r="G491" s="38">
        <f>Source!I203</f>
        <v>9.2114999999999991</v>
      </c>
      <c r="H491" s="35">
        <f>Source!AL203</f>
        <v>2346.34</v>
      </c>
      <c r="I491" s="43"/>
      <c r="J491" s="35">
        <f>Source!P203</f>
        <v>4196.76</v>
      </c>
      <c r="K491" s="43">
        <f>IF(Source!BC203&lt;&gt; 0, Source!BC203, 1)</f>
        <v>5.15</v>
      </c>
      <c r="L491" s="35">
        <f>Source!HG203</f>
        <v>21613.31</v>
      </c>
      <c r="AG491">
        <f>Source!X203</f>
        <v>0</v>
      </c>
      <c r="AH491">
        <f>Source!HK203</f>
        <v>0</v>
      </c>
      <c r="AI491">
        <f>Source!Y203</f>
        <v>0</v>
      </c>
      <c r="AJ491">
        <f>Source!HL203</f>
        <v>0</v>
      </c>
      <c r="AS491">
        <f>IF(Source!BI203&lt;=1,AH491, 0)</f>
        <v>0</v>
      </c>
      <c r="AT491">
        <f>IF(Source!BI203&lt;=1,AJ491, 0)</f>
        <v>0</v>
      </c>
      <c r="BC491">
        <f>IF(Source!BI203=2,AH491, 0)</f>
        <v>0</v>
      </c>
      <c r="BD491">
        <f>IF(Source!BI203=2,AJ491, 0)</f>
        <v>0</v>
      </c>
    </row>
    <row r="493" spans="1:71">
      <c r="A493" s="36"/>
      <c r="B493" s="36"/>
      <c r="C493" s="37" t="str">
        <f>"Объем: "&amp;Source!K203&amp;"=6,5205+"&amp;"0,5175+"&amp;"2,1735"</f>
        <v>Объем: 9,2115=6,5205+0,5175+2,1735</v>
      </c>
      <c r="D493" s="36"/>
      <c r="E493" s="36"/>
      <c r="F493" s="36"/>
      <c r="G493" s="36"/>
      <c r="H493" s="36"/>
      <c r="I493" s="36"/>
      <c r="J493" s="36"/>
      <c r="K493" s="36"/>
      <c r="L493" s="36"/>
    </row>
    <row r="494" spans="1:71" ht="15">
      <c r="C494" s="108" t="s">
        <v>802</v>
      </c>
      <c r="D494" s="108"/>
      <c r="E494" s="108"/>
      <c r="F494" s="108"/>
      <c r="G494" s="108"/>
      <c r="H494" s="108"/>
      <c r="I494" s="108">
        <f>J491</f>
        <v>4196.76</v>
      </c>
      <c r="J494" s="108"/>
      <c r="K494" s="108">
        <f>L491</f>
        <v>21613.31</v>
      </c>
      <c r="L494" s="108"/>
      <c r="O494" s="33">
        <f>I494</f>
        <v>4196.76</v>
      </c>
      <c r="P494" s="33">
        <f>K494</f>
        <v>21613.31</v>
      </c>
      <c r="Q494">
        <f>0</f>
        <v>0</v>
      </c>
      <c r="R494">
        <f>0</f>
        <v>0</v>
      </c>
      <c r="U494">
        <f>0</f>
        <v>0</v>
      </c>
      <c r="X494">
        <f>0</f>
        <v>0</v>
      </c>
      <c r="Z494">
        <f>0</f>
        <v>0</v>
      </c>
      <c r="AB494">
        <f>0</f>
        <v>0</v>
      </c>
      <c r="AD494">
        <f>0</f>
        <v>0</v>
      </c>
      <c r="AF494" s="33">
        <f>I494</f>
        <v>4196.76</v>
      </c>
      <c r="AN494">
        <f>IF(Source!BI203&lt;=1,J491, 0)</f>
        <v>0</v>
      </c>
      <c r="AO494">
        <f>IF(Source!BI203&lt;=1,I494, 0)</f>
        <v>0</v>
      </c>
      <c r="AP494">
        <f>IF(Source!BI203&lt;=1,0, 0)</f>
        <v>0</v>
      </c>
      <c r="AQ494">
        <f>IF(Source!BI203&lt;=1,0, 0)</f>
        <v>0</v>
      </c>
      <c r="AX494">
        <f>IF(Source!BI203=2,J491, 0)</f>
        <v>4196.76</v>
      </c>
      <c r="AY494">
        <f>IF(Source!BI203=2,I494, 0)</f>
        <v>4196.76</v>
      </c>
      <c r="AZ494">
        <f>IF(Source!BI203=2,0, 0)</f>
        <v>0</v>
      </c>
      <c r="BA494">
        <f>IF(Source!BI203=2,0, 0)</f>
        <v>0</v>
      </c>
      <c r="BQ494" s="33">
        <f>I494</f>
        <v>4196.76</v>
      </c>
      <c r="BS494" s="33">
        <f>K494</f>
        <v>21613.31</v>
      </c>
    </row>
    <row r="495" spans="1:71" ht="90.75">
      <c r="A495" s="57">
        <v>36</v>
      </c>
      <c r="B495" s="57" t="str">
        <f>Source!F204</f>
        <v>27-06-026-1</v>
      </c>
      <c r="C495" s="57" t="s">
        <v>865</v>
      </c>
      <c r="D495" s="42" t="str">
        <f>Source!H204</f>
        <v>1 Т</v>
      </c>
      <c r="E495" s="38">
        <f>Source!K204</f>
        <v>1.7250000000000001E-2</v>
      </c>
      <c r="F495" s="38"/>
      <c r="G495" s="38">
        <f>Source!I204</f>
        <v>1.7250000000000001E-2</v>
      </c>
      <c r="H495" s="35"/>
      <c r="I495" s="43"/>
      <c r="J495" s="35"/>
      <c r="K495" s="43"/>
      <c r="L495" s="35"/>
      <c r="AG495">
        <f>Source!X204</f>
        <v>0.25</v>
      </c>
      <c r="AH495">
        <f>Source!HK204</f>
        <v>7.23</v>
      </c>
      <c r="AI495">
        <f>Source!Y204</f>
        <v>0.23</v>
      </c>
      <c r="AJ495">
        <f>Source!HL204</f>
        <v>6.59</v>
      </c>
      <c r="AS495">
        <f>IF(Source!BI204&lt;=1,AH495, 0)</f>
        <v>7.23</v>
      </c>
      <c r="AT495">
        <f>IF(Source!BI204&lt;=1,AJ495, 0)</f>
        <v>6.59</v>
      </c>
      <c r="BC495">
        <f>IF(Source!BI204=2,AH495, 0)</f>
        <v>0</v>
      </c>
      <c r="BD495">
        <f>IF(Source!BI204=2,AJ495, 0)</f>
        <v>0</v>
      </c>
    </row>
    <row r="497" spans="1:71">
      <c r="C497" s="32" t="str">
        <f>"Объем: "&amp;Source!K204&amp;"=34,5*"&amp;"0,0005"</f>
        <v>Объем: 0,01725=34,5*0,0005</v>
      </c>
    </row>
    <row r="498" spans="1:71" ht="14.25">
      <c r="A498" s="57"/>
      <c r="B498" s="58">
        <v>3</v>
      </c>
      <c r="C498" s="57" t="s">
        <v>805</v>
      </c>
      <c r="D498" s="42"/>
      <c r="E498" s="38"/>
      <c r="F498" s="38"/>
      <c r="G498" s="38"/>
      <c r="H498" s="35">
        <f>Source!AM204</f>
        <v>48.56</v>
      </c>
      <c r="I498" s="43">
        <f>ROUND(1.2*1.15,7)</f>
        <v>1.38</v>
      </c>
      <c r="J498" s="35">
        <f>ROUND(Source!AD204*Source!I204, 2)</f>
        <v>1.1599999999999999</v>
      </c>
      <c r="K498" s="43"/>
      <c r="L498" s="35"/>
    </row>
    <row r="499" spans="1:71" ht="14.25">
      <c r="A499" s="57"/>
      <c r="B499" s="58">
        <v>2</v>
      </c>
      <c r="C499" s="57" t="s">
        <v>806</v>
      </c>
      <c r="D499" s="42"/>
      <c r="E499" s="38"/>
      <c r="F499" s="38"/>
      <c r="G499" s="38"/>
      <c r="H499" s="35">
        <f>Source!AN204</f>
        <v>6.95</v>
      </c>
      <c r="I499" s="43">
        <f>ROUND(1.2*1.15,7)</f>
        <v>1.38</v>
      </c>
      <c r="J499" s="48">
        <f>ROUND(Source!AE204*Source!I204, 2)</f>
        <v>0.17</v>
      </c>
      <c r="K499" s="43">
        <f>IF(Source!BS204&lt;&gt; 0, Source!BS204, 1)</f>
        <v>28.93</v>
      </c>
      <c r="L499" s="48">
        <f>Source!HI204</f>
        <v>4.92</v>
      </c>
    </row>
    <row r="500" spans="1:71" ht="14.25">
      <c r="A500" s="57"/>
      <c r="B500" s="58">
        <v>4</v>
      </c>
      <c r="C500" s="57" t="s">
        <v>813</v>
      </c>
      <c r="D500" s="42"/>
      <c r="E500" s="38"/>
      <c r="F500" s="38"/>
      <c r="G500" s="38"/>
      <c r="H500" s="35">
        <f>Source!AL204</f>
        <v>2466.91</v>
      </c>
      <c r="I500" s="43"/>
      <c r="J500" s="35">
        <f>ROUND(Source!AC204*Source!I204, 2)</f>
        <v>42.55</v>
      </c>
      <c r="K500" s="43"/>
      <c r="L500" s="35"/>
    </row>
    <row r="501" spans="1:71" ht="14.25">
      <c r="A501" s="57"/>
      <c r="B501" s="57"/>
      <c r="C501" s="59" t="s">
        <v>807</v>
      </c>
      <c r="D501" s="44" t="s">
        <v>796</v>
      </c>
      <c r="E501" s="45">
        <f>Source!AR204</f>
        <v>0.66</v>
      </c>
      <c r="F501" s="45">
        <f>ROUND(1.2*1.15,7)</f>
        <v>1.38</v>
      </c>
      <c r="G501" s="45">
        <f>ROUND(Source!V204, 7)</f>
        <v>1.5711300000000001E-2</v>
      </c>
      <c r="H501" s="46"/>
      <c r="I501" s="47"/>
      <c r="J501" s="46"/>
      <c r="K501" s="47"/>
      <c r="L501" s="46"/>
    </row>
    <row r="502" spans="1:71" ht="14.25">
      <c r="A502" s="57"/>
      <c r="B502" s="57"/>
      <c r="C502" s="57" t="s">
        <v>797</v>
      </c>
      <c r="D502" s="42"/>
      <c r="E502" s="38"/>
      <c r="F502" s="38"/>
      <c r="G502" s="38"/>
      <c r="H502" s="35">
        <f>H498+H500</f>
        <v>2515.4699999999998</v>
      </c>
      <c r="I502" s="43"/>
      <c r="J502" s="35">
        <f>J498+J500</f>
        <v>43.709999999999994</v>
      </c>
      <c r="K502" s="43"/>
      <c r="L502" s="35"/>
    </row>
    <row r="503" spans="1:71" ht="14.25">
      <c r="A503" s="57"/>
      <c r="B503" s="57"/>
      <c r="C503" s="57" t="s">
        <v>798</v>
      </c>
      <c r="D503" s="42"/>
      <c r="E503" s="38"/>
      <c r="F503" s="38"/>
      <c r="G503" s="38"/>
      <c r="H503" s="35"/>
      <c r="I503" s="43"/>
      <c r="J503" s="35">
        <f>SUM(Q495:Q506)+SUM(V495:V506)+SUM(X495:X506)+SUM(Y495:Y506)</f>
        <v>0.17</v>
      </c>
      <c r="K503" s="43"/>
      <c r="L503" s="35">
        <f>SUM(U495:U506)+SUM(W495:W506)+SUM(Z495:Z506)+SUM(AA495:AA506)</f>
        <v>4.92</v>
      </c>
    </row>
    <row r="504" spans="1:71" ht="14.25">
      <c r="A504" s="57"/>
      <c r="B504" s="57" t="s">
        <v>256</v>
      </c>
      <c r="C504" s="57" t="s">
        <v>858</v>
      </c>
      <c r="D504" s="42" t="s">
        <v>800</v>
      </c>
      <c r="E504" s="38">
        <f>Source!BZ204</f>
        <v>147</v>
      </c>
      <c r="F504" s="38"/>
      <c r="G504" s="38">
        <f>Source!AT204</f>
        <v>147</v>
      </c>
      <c r="H504" s="35"/>
      <c r="I504" s="43"/>
      <c r="J504" s="35">
        <f>SUM(AG495:AG506)</f>
        <v>0.25</v>
      </c>
      <c r="K504" s="43"/>
      <c r="L504" s="35">
        <f>SUM(AH495:AH506)</f>
        <v>7.23</v>
      </c>
    </row>
    <row r="505" spans="1:71" ht="14.25">
      <c r="A505" s="59"/>
      <c r="B505" s="59" t="s">
        <v>257</v>
      </c>
      <c r="C505" s="59" t="s">
        <v>859</v>
      </c>
      <c r="D505" s="44" t="s">
        <v>800</v>
      </c>
      <c r="E505" s="45">
        <f>Source!CA204</f>
        <v>134</v>
      </c>
      <c r="F505" s="45"/>
      <c r="G505" s="45">
        <f>Source!AU204</f>
        <v>134</v>
      </c>
      <c r="H505" s="46"/>
      <c r="I505" s="47"/>
      <c r="J505" s="46">
        <f>SUM(AI495:AI506)</f>
        <v>0.23</v>
      </c>
      <c r="K505" s="47"/>
      <c r="L505" s="46">
        <f>SUM(AJ495:AJ506)</f>
        <v>6.59</v>
      </c>
    </row>
    <row r="506" spans="1:71" ht="15">
      <c r="C506" s="108" t="s">
        <v>802</v>
      </c>
      <c r="D506" s="108"/>
      <c r="E506" s="108"/>
      <c r="F506" s="108"/>
      <c r="G506" s="108"/>
      <c r="H506" s="108"/>
      <c r="I506" s="108">
        <f>J498+J500+J504+J505</f>
        <v>44.189999999999991</v>
      </c>
      <c r="J506" s="108"/>
      <c r="O506" s="33">
        <f>I506</f>
        <v>44.189999999999991</v>
      </c>
      <c r="P506">
        <f>K506</f>
        <v>0</v>
      </c>
      <c r="Q506">
        <f>0</f>
        <v>0</v>
      </c>
      <c r="R506">
        <f>0</f>
        <v>0</v>
      </c>
      <c r="U506">
        <f>0</f>
        <v>0</v>
      </c>
      <c r="X506" s="33">
        <f>J499</f>
        <v>0.17</v>
      </c>
      <c r="Z506" s="33">
        <f>L499</f>
        <v>4.92</v>
      </c>
      <c r="AB506" s="33">
        <f>J498</f>
        <v>1.1599999999999999</v>
      </c>
      <c r="AD506" s="33">
        <f>L498</f>
        <v>0</v>
      </c>
      <c r="AF506" s="33">
        <f>J500</f>
        <v>42.55</v>
      </c>
      <c r="AN506">
        <f>IF(Source!BI204&lt;=1,J498+J500+J504+J505, 0)</f>
        <v>44.189999999999991</v>
      </c>
      <c r="AO506">
        <f>IF(Source!BI204&lt;=1,J500, 0)</f>
        <v>42.55</v>
      </c>
      <c r="AP506">
        <f>IF(Source!BI204&lt;=1,J498, 0)</f>
        <v>1.1599999999999999</v>
      </c>
      <c r="AQ506">
        <f>IF(Source!BI204&lt;=1,0, 0)</f>
        <v>0</v>
      </c>
      <c r="AX506">
        <f>IF(Source!BI204=2,J498+J500+J504+J505, 0)</f>
        <v>0</v>
      </c>
      <c r="AY506">
        <f>IF(Source!BI204=2,J500, 0)</f>
        <v>0</v>
      </c>
      <c r="AZ506">
        <f>IF(Source!BI204=2,J498, 0)</f>
        <v>0</v>
      </c>
      <c r="BA506">
        <f>IF(Source!BI204=2,0, 0)</f>
        <v>0</v>
      </c>
    </row>
    <row r="507" spans="1:71" ht="41.25">
      <c r="A507" s="57">
        <v>37</v>
      </c>
      <c r="B507" s="57" t="str">
        <f>Source!F205</f>
        <v>прайс-лист</v>
      </c>
      <c r="C507" s="57" t="s">
        <v>866</v>
      </c>
      <c r="D507" s="42" t="str">
        <f>Source!H205</f>
        <v>ТН</v>
      </c>
      <c r="E507" s="38">
        <f>Source!K205</f>
        <v>1.7250000000000001E-2</v>
      </c>
      <c r="F507" s="38"/>
      <c r="G507" s="38">
        <f>Source!I205</f>
        <v>1.7250000000000001E-2</v>
      </c>
      <c r="H507" s="35">
        <f>Source!AL205</f>
        <v>29166.67</v>
      </c>
      <c r="I507" s="43"/>
      <c r="J507" s="35">
        <f>Source!P205</f>
        <v>97.7</v>
      </c>
      <c r="K507" s="43">
        <f>IF(Source!BC205&lt;&gt; 0, Source!BC205, 1)</f>
        <v>5.15</v>
      </c>
      <c r="L507" s="35">
        <f>Source!HG205</f>
        <v>503.13</v>
      </c>
      <c r="AG507">
        <f>Source!X205</f>
        <v>0</v>
      </c>
      <c r="AH507">
        <f>Source!HK205</f>
        <v>0</v>
      </c>
      <c r="AI507">
        <f>Source!Y205</f>
        <v>0</v>
      </c>
      <c r="AJ507">
        <f>Source!HL205</f>
        <v>0</v>
      </c>
      <c r="AS507">
        <f>IF(Source!BI205&lt;=1,AH507, 0)</f>
        <v>0</v>
      </c>
      <c r="AT507">
        <f>IF(Source!BI205&lt;=1,AJ507, 0)</f>
        <v>0</v>
      </c>
      <c r="BC507">
        <f>IF(Source!BI205=2,AH507, 0)</f>
        <v>0</v>
      </c>
      <c r="BD507">
        <f>IF(Source!BI205=2,AJ507, 0)</f>
        <v>0</v>
      </c>
    </row>
    <row r="509" spans="1:71">
      <c r="A509" s="36"/>
      <c r="B509" s="36"/>
      <c r="C509" s="37" t="str">
        <f>"Объем: "&amp;Source!K205&amp;"=34,5*"&amp;"0,0005"</f>
        <v>Объем: 0,01725=34,5*0,0005</v>
      </c>
      <c r="D509" s="36"/>
      <c r="E509" s="36"/>
      <c r="F509" s="36"/>
      <c r="G509" s="36"/>
      <c r="H509" s="36"/>
      <c r="I509" s="36"/>
      <c r="J509" s="36"/>
      <c r="K509" s="36"/>
      <c r="L509" s="36"/>
    </row>
    <row r="510" spans="1:71" ht="15">
      <c r="C510" s="108" t="s">
        <v>802</v>
      </c>
      <c r="D510" s="108"/>
      <c r="E510" s="108"/>
      <c r="F510" s="108"/>
      <c r="G510" s="108"/>
      <c r="H510" s="108"/>
      <c r="I510" s="108">
        <f>J507</f>
        <v>97.7</v>
      </c>
      <c r="J510" s="108"/>
      <c r="K510" s="108">
        <f>L507</f>
        <v>503.13</v>
      </c>
      <c r="L510" s="108"/>
      <c r="O510" s="33">
        <f>I510</f>
        <v>97.7</v>
      </c>
      <c r="P510" s="33">
        <f>K510</f>
        <v>503.13</v>
      </c>
      <c r="Q510">
        <f>0</f>
        <v>0</v>
      </c>
      <c r="R510">
        <f>0</f>
        <v>0</v>
      </c>
      <c r="U510">
        <f>0</f>
        <v>0</v>
      </c>
      <c r="X510">
        <f>0</f>
        <v>0</v>
      </c>
      <c r="Z510">
        <f>0</f>
        <v>0</v>
      </c>
      <c r="AB510">
        <f>0</f>
        <v>0</v>
      </c>
      <c r="AD510">
        <f>0</f>
        <v>0</v>
      </c>
      <c r="AF510" s="33">
        <f>I510</f>
        <v>97.7</v>
      </c>
      <c r="AN510">
        <f>IF(Source!BI205&lt;=1,J507, 0)</f>
        <v>0</v>
      </c>
      <c r="AO510">
        <f>IF(Source!BI205&lt;=1,I510, 0)</f>
        <v>0</v>
      </c>
      <c r="AP510">
        <f>IF(Source!BI205&lt;=1,0, 0)</f>
        <v>0</v>
      </c>
      <c r="AQ510">
        <f>IF(Source!BI205&lt;=1,0, 0)</f>
        <v>0</v>
      </c>
      <c r="AX510">
        <f>IF(Source!BI205=2,J507, 0)</f>
        <v>97.7</v>
      </c>
      <c r="AY510">
        <f>IF(Source!BI205=2,I510, 0)</f>
        <v>97.7</v>
      </c>
      <c r="AZ510">
        <f>IF(Source!BI205=2,0, 0)</f>
        <v>0</v>
      </c>
      <c r="BA510">
        <f>IF(Source!BI205=2,0, 0)</f>
        <v>0</v>
      </c>
      <c r="BQ510" s="33">
        <f>I510</f>
        <v>97.7</v>
      </c>
      <c r="BS510" s="33">
        <f>K510</f>
        <v>503.13</v>
      </c>
    </row>
    <row r="511" spans="1:71" ht="133.5">
      <c r="A511" s="57">
        <v>38</v>
      </c>
      <c r="B511" s="57" t="str">
        <f>Source!F206</f>
        <v>27-03-004-1</v>
      </c>
      <c r="C511" s="57" t="s">
        <v>867</v>
      </c>
      <c r="D511" s="42" t="str">
        <f>Source!H206</f>
        <v>100 т смеси</v>
      </c>
      <c r="E511" s="38">
        <f>Source!K206</f>
        <v>8.6249999999999993E-2</v>
      </c>
      <c r="F511" s="38"/>
      <c r="G511" s="38">
        <f>Source!I206</f>
        <v>8.6249999999999993E-2</v>
      </c>
      <c r="H511" s="35"/>
      <c r="I511" s="43"/>
      <c r="J511" s="35"/>
      <c r="K511" s="43"/>
      <c r="L511" s="35"/>
      <c r="AG511">
        <f>Source!X206</f>
        <v>86.67</v>
      </c>
      <c r="AH511">
        <f>Source!HK206</f>
        <v>2507.39</v>
      </c>
      <c r="AI511">
        <f>Source!Y206</f>
        <v>56.01</v>
      </c>
      <c r="AJ511">
        <f>Source!HL206</f>
        <v>1620.42</v>
      </c>
      <c r="AS511">
        <f>IF(Source!BI206&lt;=1,AH511, 0)</f>
        <v>2507.39</v>
      </c>
      <c r="AT511">
        <f>IF(Source!BI206&lt;=1,AJ511, 0)</f>
        <v>1620.42</v>
      </c>
      <c r="BC511">
        <f>IF(Source!BI206=2,AH511, 0)</f>
        <v>0</v>
      </c>
      <c r="BD511">
        <f>IF(Source!BI206=2,AJ511, 0)</f>
        <v>0</v>
      </c>
    </row>
    <row r="513" spans="1:56">
      <c r="C513" s="32" t="str">
        <f>"Объем: "&amp;Source!K206&amp;"=(0,25*"&amp;"34,5)/"&amp;"100"</f>
        <v>Объем: 0,08625=(0,25*34,5)/100</v>
      </c>
    </row>
    <row r="514" spans="1:56" ht="14.25">
      <c r="A514" s="57"/>
      <c r="B514" s="58">
        <v>1</v>
      </c>
      <c r="C514" s="57" t="s">
        <v>794</v>
      </c>
      <c r="D514" s="42"/>
      <c r="E514" s="38"/>
      <c r="F514" s="38"/>
      <c r="G514" s="38"/>
      <c r="H514" s="35">
        <f>Source!AO206</f>
        <v>206.6</v>
      </c>
      <c r="I514" s="43">
        <f>ROUND(1.2*1.15,7)</f>
        <v>1.38</v>
      </c>
      <c r="J514" s="35">
        <f>ROUND(Source!AF206*Source!I206, 2)</f>
        <v>24.59</v>
      </c>
      <c r="K514" s="43">
        <f>IF(Source!BA206&lt;&gt; 0, Source!BA206, 1)</f>
        <v>28.93</v>
      </c>
      <c r="L514" s="35">
        <f>Source!HJ206</f>
        <v>711.39</v>
      </c>
    </row>
    <row r="515" spans="1:56" ht="14.25">
      <c r="A515" s="57"/>
      <c r="B515" s="58">
        <v>3</v>
      </c>
      <c r="C515" s="57" t="s">
        <v>805</v>
      </c>
      <c r="D515" s="42"/>
      <c r="E515" s="38"/>
      <c r="F515" s="38"/>
      <c r="G515" s="38"/>
      <c r="H515" s="35">
        <f>Source!AM206</f>
        <v>3111.18</v>
      </c>
      <c r="I515" s="43">
        <f>ROUND(1.2*1.15,7)</f>
        <v>1.38</v>
      </c>
      <c r="J515" s="35">
        <f>ROUND(Source!AD206*Source!I206, 2)</f>
        <v>370.31</v>
      </c>
      <c r="K515" s="43"/>
      <c r="L515" s="35"/>
    </row>
    <row r="516" spans="1:56" ht="14.25">
      <c r="A516" s="57"/>
      <c r="B516" s="58">
        <v>2</v>
      </c>
      <c r="C516" s="57" t="s">
        <v>806</v>
      </c>
      <c r="D516" s="42"/>
      <c r="E516" s="38"/>
      <c r="F516" s="38"/>
      <c r="G516" s="38"/>
      <c r="H516" s="35">
        <f>Source!AN206</f>
        <v>288.75</v>
      </c>
      <c r="I516" s="43">
        <f>ROUND(1.2*1.15,7)</f>
        <v>1.38</v>
      </c>
      <c r="J516" s="48">
        <f>ROUND(Source!AE206*Source!I206, 2)</f>
        <v>34.369999999999997</v>
      </c>
      <c r="K516" s="43">
        <f>IF(Source!BS206&lt;&gt; 0, Source!BS206, 1)</f>
        <v>28.93</v>
      </c>
      <c r="L516" s="48">
        <f>Source!HI206</f>
        <v>994.32</v>
      </c>
    </row>
    <row r="517" spans="1:56" ht="14.25">
      <c r="A517" s="57"/>
      <c r="B517" s="58">
        <v>4</v>
      </c>
      <c r="C517" s="57" t="s">
        <v>813</v>
      </c>
      <c r="D517" s="42"/>
      <c r="E517" s="38"/>
      <c r="F517" s="38"/>
      <c r="G517" s="38"/>
      <c r="H517" s="35">
        <f>Source!AL206</f>
        <v>38098.639999999999</v>
      </c>
      <c r="I517" s="43"/>
      <c r="J517" s="35">
        <f>ROUND(Source!AC206*Source!I206, 2)</f>
        <v>3286.01</v>
      </c>
      <c r="K517" s="43"/>
      <c r="L517" s="35"/>
    </row>
    <row r="518" spans="1:56" ht="14.25">
      <c r="A518" s="57"/>
      <c r="B518" s="57"/>
      <c r="C518" s="57" t="s">
        <v>795</v>
      </c>
      <c r="D518" s="42" t="s">
        <v>796</v>
      </c>
      <c r="E518" s="38">
        <f>Source!AQ206</f>
        <v>21.77</v>
      </c>
      <c r="F518" s="38">
        <f>ROUND(1.2*1.15,7)</f>
        <v>1.38</v>
      </c>
      <c r="G518" s="38">
        <f>ROUND(Source!U206, 7)</f>
        <v>2.5911743</v>
      </c>
      <c r="H518" s="35"/>
      <c r="I518" s="43"/>
      <c r="J518" s="35"/>
      <c r="K518" s="43"/>
      <c r="L518" s="35"/>
    </row>
    <row r="519" spans="1:56" ht="14.25">
      <c r="A519" s="57"/>
      <c r="B519" s="57"/>
      <c r="C519" s="59" t="s">
        <v>807</v>
      </c>
      <c r="D519" s="44" t="s">
        <v>796</v>
      </c>
      <c r="E519" s="45">
        <f>Source!AR206</f>
        <v>21.5</v>
      </c>
      <c r="F519" s="45">
        <f>ROUND(1.2*1.15,7)</f>
        <v>1.38</v>
      </c>
      <c r="G519" s="45">
        <f>ROUND(Source!V206, 7)</f>
        <v>2.5590375000000001</v>
      </c>
      <c r="H519" s="46"/>
      <c r="I519" s="47"/>
      <c r="J519" s="46"/>
      <c r="K519" s="47"/>
      <c r="L519" s="46"/>
    </row>
    <row r="520" spans="1:56" ht="14.25">
      <c r="A520" s="57"/>
      <c r="B520" s="57"/>
      <c r="C520" s="57" t="s">
        <v>797</v>
      </c>
      <c r="D520" s="42"/>
      <c r="E520" s="38"/>
      <c r="F520" s="38"/>
      <c r="G520" s="38"/>
      <c r="H520" s="35">
        <f>H514+H515+H517</f>
        <v>41416.42</v>
      </c>
      <c r="I520" s="43"/>
      <c r="J520" s="35">
        <f>J514+J515+J517</f>
        <v>3680.9100000000003</v>
      </c>
      <c r="K520" s="43"/>
      <c r="L520" s="35"/>
    </row>
    <row r="521" spans="1:56" ht="57">
      <c r="A521" s="57" t="s">
        <v>334</v>
      </c>
      <c r="B521" s="57" t="str">
        <f>Source!F207</f>
        <v>410-0034</v>
      </c>
      <c r="C521" s="57" t="s">
        <v>868</v>
      </c>
      <c r="D521" s="42" t="str">
        <f>Source!H207</f>
        <v>т</v>
      </c>
      <c r="E521" s="38">
        <f>SmtRes!AT211</f>
        <v>-101</v>
      </c>
      <c r="F521" s="38"/>
      <c r="G521" s="38">
        <f>Source!I207</f>
        <v>-8.7112499999999997</v>
      </c>
      <c r="H521" s="35">
        <f>Source!AL207+Source!AO207+Source!AM207</f>
        <v>375.32</v>
      </c>
      <c r="I521" s="43"/>
      <c r="J521" s="35">
        <f>ROUND(Source!AC207*Source!I207, 2)+ROUND(Source!AD207*Source!I207, 2)+ROUND(Source!AF207*Source!I207, 2)</f>
        <v>-3269.51</v>
      </c>
      <c r="K521" s="43"/>
      <c r="L521" s="35"/>
      <c r="AF521" s="33">
        <f>J521</f>
        <v>-3269.51</v>
      </c>
      <c r="AG521">
        <f>Source!X207</f>
        <v>0</v>
      </c>
      <c r="AH521">
        <f>Source!HK207</f>
        <v>0</v>
      </c>
      <c r="AI521">
        <f>Source!Y207</f>
        <v>0</v>
      </c>
      <c r="AJ521">
        <f>Source!HL207</f>
        <v>0</v>
      </c>
      <c r="AN521">
        <f>IF(Source!BI207&lt;=1,J521, 0)</f>
        <v>-3269.51</v>
      </c>
      <c r="AO521">
        <f>IF(Source!BI207&lt;=1,J521, 0)</f>
        <v>-3269.51</v>
      </c>
      <c r="AS521">
        <f>IF(Source!BI207&lt;=1,AH521, 0)</f>
        <v>0</v>
      </c>
      <c r="AT521">
        <f>IF(Source!BI207&lt;=1,AJ521, 0)</f>
        <v>0</v>
      </c>
      <c r="AX521">
        <f>IF(Source!BI207=2,J521, 0)</f>
        <v>0</v>
      </c>
      <c r="AY521">
        <f>IF(Source!BI207=2,J521, 0)</f>
        <v>0</v>
      </c>
      <c r="BC521">
        <f>IF(Source!BI207=2,AH521, 0)</f>
        <v>0</v>
      </c>
      <c r="BD521">
        <f>IF(Source!BI207=2,AJ521, 0)</f>
        <v>0</v>
      </c>
    </row>
    <row r="522" spans="1:56" ht="14.25">
      <c r="A522" s="57"/>
      <c r="B522" s="57"/>
      <c r="C522" s="57" t="s">
        <v>798</v>
      </c>
      <c r="D522" s="42"/>
      <c r="E522" s="38"/>
      <c r="F522" s="38"/>
      <c r="G522" s="38"/>
      <c r="H522" s="35"/>
      <c r="I522" s="43"/>
      <c r="J522" s="35">
        <f>SUM(Q511:Q525)+SUM(V511:V525)+SUM(X511:X525)+SUM(Y511:Y525)</f>
        <v>58.959999999999994</v>
      </c>
      <c r="K522" s="43"/>
      <c r="L522" s="35">
        <f>SUM(U511:U525)+SUM(W511:W525)+SUM(Z511:Z525)+SUM(AA511:AA525)</f>
        <v>1705.71</v>
      </c>
    </row>
    <row r="523" spans="1:56" ht="14.25">
      <c r="A523" s="57"/>
      <c r="B523" s="57" t="s">
        <v>256</v>
      </c>
      <c r="C523" s="57" t="s">
        <v>858</v>
      </c>
      <c r="D523" s="42" t="s">
        <v>800</v>
      </c>
      <c r="E523" s="38">
        <f>Source!BZ206</f>
        <v>147</v>
      </c>
      <c r="F523" s="38"/>
      <c r="G523" s="38">
        <f>Source!AT206</f>
        <v>147</v>
      </c>
      <c r="H523" s="35"/>
      <c r="I523" s="43"/>
      <c r="J523" s="35">
        <f>SUM(AG511:AG525)</f>
        <v>86.67</v>
      </c>
      <c r="K523" s="43"/>
      <c r="L523" s="35">
        <f>SUM(AH511:AH525)</f>
        <v>2507.39</v>
      </c>
    </row>
    <row r="524" spans="1:56" ht="14.25">
      <c r="A524" s="59"/>
      <c r="B524" s="59" t="s">
        <v>257</v>
      </c>
      <c r="C524" s="59" t="s">
        <v>859</v>
      </c>
      <c r="D524" s="44" t="s">
        <v>800</v>
      </c>
      <c r="E524" s="45">
        <f>Source!CA206</f>
        <v>95</v>
      </c>
      <c r="F524" s="45"/>
      <c r="G524" s="45">
        <f>Source!AU206</f>
        <v>95</v>
      </c>
      <c r="H524" s="46"/>
      <c r="I524" s="47"/>
      <c r="J524" s="46">
        <f>SUM(AI511:AI525)</f>
        <v>56.01</v>
      </c>
      <c r="K524" s="47"/>
      <c r="L524" s="46">
        <f>SUM(AJ511:AJ525)</f>
        <v>1620.42</v>
      </c>
    </row>
    <row r="525" spans="1:56" ht="15">
      <c r="C525" s="108" t="s">
        <v>802</v>
      </c>
      <c r="D525" s="108"/>
      <c r="E525" s="108"/>
      <c r="F525" s="108"/>
      <c r="G525" s="108"/>
      <c r="H525" s="108"/>
      <c r="I525" s="108">
        <f>J514+J515+J517+J523+J524+SUM(J521:J521)</f>
        <v>554.08000000000038</v>
      </c>
      <c r="J525" s="108"/>
      <c r="O525" s="33">
        <f>I525</f>
        <v>554.08000000000038</v>
      </c>
      <c r="P525">
        <f>K525</f>
        <v>0</v>
      </c>
      <c r="Q525" s="33">
        <f>J514</f>
        <v>24.59</v>
      </c>
      <c r="R525" s="33">
        <f>J514</f>
        <v>24.59</v>
      </c>
      <c r="U525" s="33">
        <f>L514</f>
        <v>711.39</v>
      </c>
      <c r="X525" s="33">
        <f>J516</f>
        <v>34.369999999999997</v>
      </c>
      <c r="Z525" s="33">
        <f>L516</f>
        <v>994.32</v>
      </c>
      <c r="AB525" s="33">
        <f>J515</f>
        <v>370.31</v>
      </c>
      <c r="AD525" s="33">
        <f>L515</f>
        <v>0</v>
      </c>
      <c r="AF525" s="33">
        <f>J517</f>
        <v>3286.01</v>
      </c>
      <c r="AN525">
        <f>IF(Source!BI206&lt;=1,J514+J515+J517+J523+J524, 0)</f>
        <v>3823.5900000000006</v>
      </c>
      <c r="AO525">
        <f>IF(Source!BI206&lt;=1,J517, 0)</f>
        <v>3286.01</v>
      </c>
      <c r="AP525">
        <f>IF(Source!BI206&lt;=1,J515, 0)</f>
        <v>370.31</v>
      </c>
      <c r="AQ525">
        <f>IF(Source!BI206&lt;=1,J514, 0)</f>
        <v>24.59</v>
      </c>
      <c r="AX525">
        <f>IF(Source!BI206=2,J514+J515+J517+J523+J524, 0)</f>
        <v>0</v>
      </c>
      <c r="AY525">
        <f>IF(Source!BI206=2,J517, 0)</f>
        <v>0</v>
      </c>
      <c r="AZ525">
        <f>IF(Source!BI206=2,J515, 0)</f>
        <v>0</v>
      </c>
      <c r="BA525">
        <f>IF(Source!BI206=2,J514, 0)</f>
        <v>0</v>
      </c>
    </row>
    <row r="526" spans="1:56" ht="147.75">
      <c r="A526" s="57">
        <v>39</v>
      </c>
      <c r="B526" s="57" t="str">
        <f>Source!F208</f>
        <v>27-06-029-1</v>
      </c>
      <c r="C526" s="57" t="s">
        <v>869</v>
      </c>
      <c r="D526" s="42" t="str">
        <f>Source!H208</f>
        <v>1000 м2 покрытия</v>
      </c>
      <c r="E526" s="38">
        <f>Source!K208</f>
        <v>3.4500000000000003E-2</v>
      </c>
      <c r="F526" s="38"/>
      <c r="G526" s="38">
        <f>Source!I208</f>
        <v>3.4500000000000003E-2</v>
      </c>
      <c r="H526" s="35"/>
      <c r="I526" s="43"/>
      <c r="J526" s="35"/>
      <c r="K526" s="43"/>
      <c r="L526" s="35"/>
      <c r="AG526">
        <f>Source!X208</f>
        <v>28.67</v>
      </c>
      <c r="AH526">
        <f>Source!HK208</f>
        <v>829.29</v>
      </c>
      <c r="AI526">
        <f>Source!Y208</f>
        <v>26.13</v>
      </c>
      <c r="AJ526">
        <f>Source!HL208</f>
        <v>755.95</v>
      </c>
      <c r="AS526">
        <f>IF(Source!BI208&lt;=1,AH526, 0)</f>
        <v>829.29</v>
      </c>
      <c r="AT526">
        <f>IF(Source!BI208&lt;=1,AJ526, 0)</f>
        <v>755.95</v>
      </c>
      <c r="BC526">
        <f>IF(Source!BI208=2,AH526, 0)</f>
        <v>0</v>
      </c>
      <c r="BD526">
        <f>IF(Source!BI208=2,AJ526, 0)</f>
        <v>0</v>
      </c>
    </row>
    <row r="528" spans="1:56">
      <c r="C528" s="32" t="str">
        <f>"Объем: "&amp;Source!K208&amp;"=34,5/"&amp;"1000"</f>
        <v>Объем: 0,0345=34,5/1000</v>
      </c>
    </row>
    <row r="529" spans="1:71" ht="14.25">
      <c r="A529" s="57"/>
      <c r="B529" s="58">
        <v>1</v>
      </c>
      <c r="C529" s="57" t="s">
        <v>794</v>
      </c>
      <c r="D529" s="42"/>
      <c r="E529" s="38"/>
      <c r="F529" s="38"/>
      <c r="G529" s="38"/>
      <c r="H529" s="35">
        <f>Source!AO208</f>
        <v>177.31</v>
      </c>
      <c r="I529" s="43">
        <f>ROUND(1.2*1.15,7)</f>
        <v>1.38</v>
      </c>
      <c r="J529" s="35">
        <f>ROUND(Source!AF208*Source!I208, 2)</f>
        <v>8.44</v>
      </c>
      <c r="K529" s="43">
        <f>IF(Source!BA208&lt;&gt; 0, Source!BA208, 1)</f>
        <v>28.93</v>
      </c>
      <c r="L529" s="35">
        <f>Source!HJ208</f>
        <v>244.17</v>
      </c>
    </row>
    <row r="530" spans="1:71" ht="14.25">
      <c r="A530" s="57"/>
      <c r="B530" s="58">
        <v>3</v>
      </c>
      <c r="C530" s="57" t="s">
        <v>805</v>
      </c>
      <c r="D530" s="42"/>
      <c r="E530" s="38"/>
      <c r="F530" s="38"/>
      <c r="G530" s="38"/>
      <c r="H530" s="35">
        <f>Source!AM208</f>
        <v>8703.0300000000007</v>
      </c>
      <c r="I530" s="43">
        <f>ROUND(1.2*1.15,7)</f>
        <v>1.38</v>
      </c>
      <c r="J530" s="35">
        <f>ROUND(Source!AD208*Source!I208, 2)</f>
        <v>414.35</v>
      </c>
      <c r="K530" s="43"/>
      <c r="L530" s="35"/>
    </row>
    <row r="531" spans="1:71" ht="14.25">
      <c r="A531" s="57"/>
      <c r="B531" s="58">
        <v>2</v>
      </c>
      <c r="C531" s="57" t="s">
        <v>806</v>
      </c>
      <c r="D531" s="42"/>
      <c r="E531" s="38"/>
      <c r="F531" s="38"/>
      <c r="G531" s="38"/>
      <c r="H531" s="35">
        <f>Source!AN208</f>
        <v>232.38</v>
      </c>
      <c r="I531" s="43">
        <f>ROUND(1.2*1.15,7)</f>
        <v>1.38</v>
      </c>
      <c r="J531" s="48">
        <f>ROUND(Source!AE208*Source!I208, 2)</f>
        <v>11.06</v>
      </c>
      <c r="K531" s="43">
        <f>IF(Source!BS208&lt;&gt; 0, Source!BS208, 1)</f>
        <v>28.93</v>
      </c>
      <c r="L531" s="48">
        <f>Source!HI208</f>
        <v>319.97000000000003</v>
      </c>
    </row>
    <row r="532" spans="1:71" ht="14.25">
      <c r="A532" s="57"/>
      <c r="B532" s="58">
        <v>4</v>
      </c>
      <c r="C532" s="57" t="s">
        <v>813</v>
      </c>
      <c r="D532" s="42"/>
      <c r="E532" s="38"/>
      <c r="F532" s="38"/>
      <c r="G532" s="38"/>
      <c r="H532" s="35">
        <f>Source!AL208</f>
        <v>61616.35</v>
      </c>
      <c r="I532" s="43"/>
      <c r="J532" s="35">
        <f>ROUND(Source!AC208*Source!I208, 2)</f>
        <v>2125.7600000000002</v>
      </c>
      <c r="K532" s="43"/>
      <c r="L532" s="35"/>
    </row>
    <row r="533" spans="1:71" ht="14.25">
      <c r="A533" s="57"/>
      <c r="B533" s="57"/>
      <c r="C533" s="57" t="s">
        <v>795</v>
      </c>
      <c r="D533" s="42" t="s">
        <v>796</v>
      </c>
      <c r="E533" s="38">
        <f>Source!AQ208</f>
        <v>20.86</v>
      </c>
      <c r="F533" s="38">
        <f>ROUND(1.2*1.15,7)</f>
        <v>1.38</v>
      </c>
      <c r="G533" s="38">
        <f>ROUND(Source!U208, 7)</f>
        <v>0.99314460000000004</v>
      </c>
      <c r="H533" s="35"/>
      <c r="I533" s="43"/>
      <c r="J533" s="35"/>
      <c r="K533" s="43"/>
      <c r="L533" s="35"/>
    </row>
    <row r="534" spans="1:71" ht="14.25">
      <c r="A534" s="57"/>
      <c r="B534" s="57"/>
      <c r="C534" s="59" t="s">
        <v>807</v>
      </c>
      <c r="D534" s="44" t="s">
        <v>796</v>
      </c>
      <c r="E534" s="45">
        <f>Source!AR208</f>
        <v>18.850000000000001</v>
      </c>
      <c r="F534" s="45">
        <f>ROUND(1.2*1.15,7)</f>
        <v>1.38</v>
      </c>
      <c r="G534" s="45">
        <f>ROUND(Source!V208, 7)</f>
        <v>0.89744849999999998</v>
      </c>
      <c r="H534" s="46"/>
      <c r="I534" s="47"/>
      <c r="J534" s="46"/>
      <c r="K534" s="47"/>
      <c r="L534" s="46"/>
    </row>
    <row r="535" spans="1:71" ht="14.25">
      <c r="A535" s="57"/>
      <c r="B535" s="57"/>
      <c r="C535" s="57" t="s">
        <v>797</v>
      </c>
      <c r="D535" s="42"/>
      <c r="E535" s="38"/>
      <c r="F535" s="38"/>
      <c r="G535" s="38"/>
      <c r="H535" s="35">
        <f>H529+H530+H532</f>
        <v>70496.69</v>
      </c>
      <c r="I535" s="43"/>
      <c r="J535" s="35">
        <f>J529+J530+J532</f>
        <v>2548.5500000000002</v>
      </c>
      <c r="K535" s="43"/>
      <c r="L535" s="35"/>
    </row>
    <row r="536" spans="1:71" ht="99.75">
      <c r="A536" s="57" t="s">
        <v>344</v>
      </c>
      <c r="B536" s="57" t="str">
        <f>Source!F209</f>
        <v>410-0001</v>
      </c>
      <c r="C536" s="57" t="s">
        <v>870</v>
      </c>
      <c r="D536" s="42" t="str">
        <f>Source!H209</f>
        <v>т</v>
      </c>
      <c r="E536" s="38">
        <f>SmtRes!AT234</f>
        <v>-105.26</v>
      </c>
      <c r="F536" s="38"/>
      <c r="G536" s="38">
        <f>Source!I209</f>
        <v>-3.6314700000000002</v>
      </c>
      <c r="H536" s="35">
        <f>Source!AL209+Source!AO209+Source!AM209</f>
        <v>514.92999999999995</v>
      </c>
      <c r="I536" s="43"/>
      <c r="J536" s="35">
        <f>ROUND(Source!AC209*Source!I209, 2)+ROUND(Source!AD209*Source!I209, 2)+ROUND(Source!AF209*Source!I209, 2)</f>
        <v>-1869.95</v>
      </c>
      <c r="K536" s="43"/>
      <c r="L536" s="35"/>
      <c r="AF536" s="33">
        <f>J536</f>
        <v>-1869.95</v>
      </c>
      <c r="AG536">
        <f>Source!X209</f>
        <v>0</v>
      </c>
      <c r="AH536">
        <f>Source!HK209</f>
        <v>0</v>
      </c>
      <c r="AI536">
        <f>Source!Y209</f>
        <v>0</v>
      </c>
      <c r="AJ536">
        <f>Source!HL209</f>
        <v>0</v>
      </c>
      <c r="AN536">
        <f>IF(Source!BI209&lt;=1,J536, 0)</f>
        <v>-1869.95</v>
      </c>
      <c r="AO536">
        <f>IF(Source!BI209&lt;=1,J536, 0)</f>
        <v>-1869.95</v>
      </c>
      <c r="AS536">
        <f>IF(Source!BI209&lt;=1,AH536, 0)</f>
        <v>0</v>
      </c>
      <c r="AT536">
        <f>IF(Source!BI209&lt;=1,AJ536, 0)</f>
        <v>0</v>
      </c>
      <c r="AX536">
        <f>IF(Source!BI209=2,J536, 0)</f>
        <v>0</v>
      </c>
      <c r="AY536">
        <f>IF(Source!BI209=2,J536, 0)</f>
        <v>0</v>
      </c>
      <c r="BC536">
        <f>IF(Source!BI209=2,AH536, 0)</f>
        <v>0</v>
      </c>
      <c r="BD536">
        <f>IF(Source!BI209=2,AJ536, 0)</f>
        <v>0</v>
      </c>
    </row>
    <row r="537" spans="1:71" ht="14.25">
      <c r="A537" s="57"/>
      <c r="B537" s="57"/>
      <c r="C537" s="57" t="s">
        <v>798</v>
      </c>
      <c r="D537" s="42"/>
      <c r="E537" s="38"/>
      <c r="F537" s="38"/>
      <c r="G537" s="38"/>
      <c r="H537" s="35"/>
      <c r="I537" s="43"/>
      <c r="J537" s="35">
        <f>SUM(Q526:Q540)+SUM(V526:V540)+SUM(X526:X540)+SUM(Y526:Y540)</f>
        <v>19.5</v>
      </c>
      <c r="K537" s="43"/>
      <c r="L537" s="35">
        <f>SUM(U526:U540)+SUM(W526:W540)+SUM(Z526:Z540)+SUM(AA526:AA540)</f>
        <v>564.14</v>
      </c>
    </row>
    <row r="538" spans="1:71" ht="14.25">
      <c r="A538" s="57"/>
      <c r="B538" s="57" t="s">
        <v>256</v>
      </c>
      <c r="C538" s="57" t="s">
        <v>858</v>
      </c>
      <c r="D538" s="42" t="s">
        <v>800</v>
      </c>
      <c r="E538" s="38">
        <f>Source!BZ208</f>
        <v>147</v>
      </c>
      <c r="F538" s="38"/>
      <c r="G538" s="38">
        <f>Source!AT208</f>
        <v>147</v>
      </c>
      <c r="H538" s="35"/>
      <c r="I538" s="43"/>
      <c r="J538" s="35">
        <f>SUM(AG526:AG540)</f>
        <v>28.67</v>
      </c>
      <c r="K538" s="43"/>
      <c r="L538" s="35">
        <f>SUM(AH526:AH540)</f>
        <v>829.29</v>
      </c>
    </row>
    <row r="539" spans="1:71" ht="14.25">
      <c r="A539" s="59"/>
      <c r="B539" s="59" t="s">
        <v>257</v>
      </c>
      <c r="C539" s="59" t="s">
        <v>859</v>
      </c>
      <c r="D539" s="44" t="s">
        <v>800</v>
      </c>
      <c r="E539" s="45">
        <f>Source!CA208</f>
        <v>134</v>
      </c>
      <c r="F539" s="45"/>
      <c r="G539" s="45">
        <f>Source!AU208</f>
        <v>134</v>
      </c>
      <c r="H539" s="46"/>
      <c r="I539" s="47"/>
      <c r="J539" s="46">
        <f>SUM(AI526:AI540)</f>
        <v>26.13</v>
      </c>
      <c r="K539" s="47"/>
      <c r="L539" s="46">
        <f>SUM(AJ526:AJ540)</f>
        <v>755.95</v>
      </c>
    </row>
    <row r="540" spans="1:71" ht="15">
      <c r="C540" s="108" t="s">
        <v>802</v>
      </c>
      <c r="D540" s="108"/>
      <c r="E540" s="108"/>
      <c r="F540" s="108"/>
      <c r="G540" s="108"/>
      <c r="H540" s="108"/>
      <c r="I540" s="108">
        <f>J529+J530+J532+J538+J539+SUM(J536:J536)</f>
        <v>733.40000000000032</v>
      </c>
      <c r="J540" s="108"/>
      <c r="O540" s="33">
        <f>I540</f>
        <v>733.40000000000032</v>
      </c>
      <c r="P540">
        <f>K540</f>
        <v>0</v>
      </c>
      <c r="Q540" s="33">
        <f>J529</f>
        <v>8.44</v>
      </c>
      <c r="R540" s="33">
        <f>J529</f>
        <v>8.44</v>
      </c>
      <c r="U540" s="33">
        <f>L529</f>
        <v>244.17</v>
      </c>
      <c r="X540" s="33">
        <f>J531</f>
        <v>11.06</v>
      </c>
      <c r="Z540" s="33">
        <f>L531</f>
        <v>319.97000000000003</v>
      </c>
      <c r="AB540" s="33">
        <f>J530</f>
        <v>414.35</v>
      </c>
      <c r="AD540" s="33">
        <f>L530</f>
        <v>0</v>
      </c>
      <c r="AF540" s="33">
        <f>J532</f>
        <v>2125.7600000000002</v>
      </c>
      <c r="AN540">
        <f>IF(Source!BI208&lt;=1,J529+J530+J532+J538+J539, 0)</f>
        <v>2603.3500000000004</v>
      </c>
      <c r="AO540">
        <f>IF(Source!BI208&lt;=1,J532, 0)</f>
        <v>2125.7600000000002</v>
      </c>
      <c r="AP540">
        <f>IF(Source!BI208&lt;=1,J530, 0)</f>
        <v>414.35</v>
      </c>
      <c r="AQ540">
        <f>IF(Source!BI208&lt;=1,J529, 0)</f>
        <v>8.44</v>
      </c>
      <c r="AX540">
        <f>IF(Source!BI208=2,J529+J530+J532+J538+J539, 0)</f>
        <v>0</v>
      </c>
      <c r="AY540">
        <f>IF(Source!BI208=2,J532, 0)</f>
        <v>0</v>
      </c>
      <c r="AZ540">
        <f>IF(Source!BI208=2,J530, 0)</f>
        <v>0</v>
      </c>
      <c r="BA540">
        <f>IF(Source!BI208=2,J529, 0)</f>
        <v>0</v>
      </c>
    </row>
    <row r="541" spans="1:71" ht="28.5">
      <c r="A541" s="57">
        <v>40</v>
      </c>
      <c r="B541" s="57" t="str">
        <f>Source!F210</f>
        <v>прайс-лист</v>
      </c>
      <c r="C541" s="57" t="str">
        <f>Source!G210</f>
        <v>Асфальтобетонная смесь тип Б марка II</v>
      </c>
      <c r="D541" s="42" t="str">
        <f>Source!H210</f>
        <v>ТН</v>
      </c>
      <c r="E541" s="38">
        <f>Source!K210</f>
        <v>12.34272</v>
      </c>
      <c r="F541" s="38"/>
      <c r="G541" s="38">
        <f>Source!I210</f>
        <v>12.34272</v>
      </c>
      <c r="H541" s="35">
        <f>Source!AL210</f>
        <v>8446</v>
      </c>
      <c r="I541" s="43"/>
      <c r="J541" s="35">
        <f>Source!P210</f>
        <v>20242.060000000001</v>
      </c>
      <c r="K541" s="43">
        <f>IF(Source!BC210&lt;&gt; 0, Source!BC210, 1)</f>
        <v>5.15</v>
      </c>
      <c r="L541" s="35">
        <f>Source!HG210</f>
        <v>104246.61</v>
      </c>
      <c r="AG541">
        <f>Source!X210</f>
        <v>0</v>
      </c>
      <c r="AH541">
        <f>Source!HK210</f>
        <v>0</v>
      </c>
      <c r="AI541">
        <f>Source!Y210</f>
        <v>0</v>
      </c>
      <c r="AJ541">
        <f>Source!HL210</f>
        <v>0</v>
      </c>
      <c r="AS541">
        <f>IF(Source!BI210&lt;=1,AH541, 0)</f>
        <v>0</v>
      </c>
      <c r="AT541">
        <f>IF(Source!BI210&lt;=1,AJ541, 0)</f>
        <v>0</v>
      </c>
      <c r="BC541">
        <f>IF(Source!BI210=2,AH541, 0)</f>
        <v>0</v>
      </c>
      <c r="BD541">
        <f>IF(Source!BI210=2,AJ541, 0)</f>
        <v>0</v>
      </c>
    </row>
    <row r="543" spans="1:71">
      <c r="A543" s="36"/>
      <c r="B543" s="36"/>
      <c r="C543" s="37" t="str">
        <f>"Объем: "&amp;Source!K210&amp;"=8,71125+"&amp;"3,63147"</f>
        <v>Объем: 12,34272=8,71125+3,63147</v>
      </c>
      <c r="D543" s="36"/>
      <c r="E543" s="36"/>
      <c r="F543" s="36"/>
      <c r="G543" s="36"/>
      <c r="H543" s="36"/>
      <c r="I543" s="36"/>
      <c r="J543" s="36"/>
      <c r="K543" s="36"/>
      <c r="L543" s="36"/>
    </row>
    <row r="544" spans="1:71" ht="15">
      <c r="C544" s="108" t="s">
        <v>802</v>
      </c>
      <c r="D544" s="108"/>
      <c r="E544" s="108"/>
      <c r="F544" s="108"/>
      <c r="G544" s="108"/>
      <c r="H544" s="108"/>
      <c r="I544" s="108">
        <f>J541</f>
        <v>20242.060000000001</v>
      </c>
      <c r="J544" s="108"/>
      <c r="K544" s="108">
        <f>L541</f>
        <v>104246.61</v>
      </c>
      <c r="L544" s="108"/>
      <c r="O544" s="33">
        <f>I544</f>
        <v>20242.060000000001</v>
      </c>
      <c r="P544" s="33">
        <f>K544</f>
        <v>104246.61</v>
      </c>
      <c r="Q544">
        <f>0</f>
        <v>0</v>
      </c>
      <c r="R544">
        <f>0</f>
        <v>0</v>
      </c>
      <c r="U544">
        <f>0</f>
        <v>0</v>
      </c>
      <c r="X544">
        <f>0</f>
        <v>0</v>
      </c>
      <c r="Z544">
        <f>0</f>
        <v>0</v>
      </c>
      <c r="AB544">
        <f>0</f>
        <v>0</v>
      </c>
      <c r="AD544">
        <f>0</f>
        <v>0</v>
      </c>
      <c r="AF544" s="33">
        <f>I544</f>
        <v>20242.060000000001</v>
      </c>
      <c r="AN544">
        <f>IF(Source!BI210&lt;=1,J541, 0)</f>
        <v>0</v>
      </c>
      <c r="AO544">
        <f>IF(Source!BI210&lt;=1,I544, 0)</f>
        <v>0</v>
      </c>
      <c r="AP544">
        <f>IF(Source!BI210&lt;=1,0, 0)</f>
        <v>0</v>
      </c>
      <c r="AQ544">
        <f>IF(Source!BI210&lt;=1,0, 0)</f>
        <v>0</v>
      </c>
      <c r="AX544">
        <f>IF(Source!BI210=2,J541, 0)</f>
        <v>20242.060000000001</v>
      </c>
      <c r="AY544">
        <f>IF(Source!BI210=2,I544, 0)</f>
        <v>20242.060000000001</v>
      </c>
      <c r="AZ544">
        <f>IF(Source!BI210=2,0, 0)</f>
        <v>0</v>
      </c>
      <c r="BA544">
        <f>IF(Source!BI210=2,0, 0)</f>
        <v>0</v>
      </c>
      <c r="BQ544" s="33">
        <f>I544</f>
        <v>20242.060000000001</v>
      </c>
      <c r="BS544" s="33">
        <f>K544</f>
        <v>104246.61</v>
      </c>
    </row>
    <row r="546" spans="1:95" ht="15">
      <c r="A546" s="49"/>
      <c r="B546" s="50"/>
      <c r="C546" s="107" t="s">
        <v>820</v>
      </c>
      <c r="D546" s="107"/>
      <c r="E546" s="107"/>
      <c r="F546" s="107"/>
      <c r="G546" s="107"/>
      <c r="H546" s="107"/>
      <c r="I546" s="51"/>
      <c r="J546" s="52">
        <f>J548+J549+J550+J551</f>
        <v>26984.51</v>
      </c>
      <c r="K546" s="52"/>
      <c r="L546" s="52"/>
      <c r="CQ546" s="61" t="s">
        <v>820</v>
      </c>
    </row>
    <row r="547" spans="1:95" ht="14.25">
      <c r="A547" s="53"/>
      <c r="B547" s="54"/>
      <c r="C547" s="105" t="s">
        <v>821</v>
      </c>
      <c r="D547" s="106"/>
      <c r="E547" s="106"/>
      <c r="F547" s="106"/>
      <c r="G547" s="106"/>
      <c r="H547" s="106"/>
      <c r="I547" s="55"/>
      <c r="J547" s="56"/>
      <c r="K547" s="56"/>
      <c r="L547" s="56"/>
    </row>
    <row r="548" spans="1:95" ht="14.25">
      <c r="A548" s="53"/>
      <c r="B548" s="54"/>
      <c r="C548" s="106" t="s">
        <v>822</v>
      </c>
      <c r="D548" s="106"/>
      <c r="E548" s="106"/>
      <c r="F548" s="106"/>
      <c r="G548" s="106"/>
      <c r="H548" s="106"/>
      <c r="I548" s="55"/>
      <c r="J548" s="56">
        <f>SUM(Q422:Q544)</f>
        <v>113.37</v>
      </c>
      <c r="K548" s="56"/>
      <c r="L548" s="56"/>
    </row>
    <row r="549" spans="1:95" ht="14.25">
      <c r="A549" s="53"/>
      <c r="B549" s="54"/>
      <c r="C549" s="106" t="s">
        <v>823</v>
      </c>
      <c r="D549" s="106"/>
      <c r="E549" s="106"/>
      <c r="F549" s="106"/>
      <c r="G549" s="106"/>
      <c r="H549" s="106"/>
      <c r="I549" s="55"/>
      <c r="J549" s="56">
        <f>SUM(AB422:AB544)</f>
        <v>1293.4099999999999</v>
      </c>
      <c r="K549" s="56"/>
      <c r="L549" s="56"/>
    </row>
    <row r="550" spans="1:95" ht="14.25">
      <c r="A550" s="53"/>
      <c r="B550" s="54"/>
      <c r="C550" s="106" t="s">
        <v>824</v>
      </c>
      <c r="D550" s="106"/>
      <c r="E550" s="106"/>
      <c r="F550" s="106"/>
      <c r="G550" s="106"/>
      <c r="H550" s="106"/>
      <c r="I550" s="55"/>
      <c r="J550" s="56">
        <f>Source!F215-J555</f>
        <v>24857.91</v>
      </c>
      <c r="K550" s="56"/>
      <c r="L550" s="56"/>
    </row>
    <row r="551" spans="1:95" ht="14.25">
      <c r="A551" s="53"/>
      <c r="B551" s="54"/>
      <c r="C551" s="106" t="s">
        <v>825</v>
      </c>
      <c r="D551" s="106"/>
      <c r="E551" s="106"/>
      <c r="F551" s="106"/>
      <c r="G551" s="106"/>
      <c r="H551" s="106"/>
      <c r="I551" s="55"/>
      <c r="J551" s="56">
        <f>Source!F237</f>
        <v>719.82</v>
      </c>
      <c r="K551" s="56"/>
      <c r="L551" s="56"/>
    </row>
    <row r="552" spans="1:95" ht="14.25">
      <c r="A552" s="53"/>
      <c r="B552" s="54"/>
      <c r="C552" s="106" t="s">
        <v>826</v>
      </c>
      <c r="D552" s="106"/>
      <c r="E552" s="106"/>
      <c r="F552" s="106"/>
      <c r="G552" s="106"/>
      <c r="H552" s="106"/>
      <c r="I552" s="55"/>
      <c r="J552" s="56">
        <f>SUM(Q422:Q544)+SUM(X422:X544)</f>
        <v>209.47</v>
      </c>
      <c r="K552" s="56"/>
      <c r="L552" s="56"/>
    </row>
    <row r="553" spans="1:95" ht="14.25">
      <c r="A553" s="53"/>
      <c r="B553" s="54"/>
      <c r="C553" s="106" t="s">
        <v>827</v>
      </c>
      <c r="D553" s="106"/>
      <c r="E553" s="106"/>
      <c r="F553" s="106"/>
      <c r="G553" s="106"/>
      <c r="H553" s="106"/>
      <c r="I553" s="55"/>
      <c r="J553" s="56">
        <f>Source!F238</f>
        <v>307.93</v>
      </c>
      <c r="K553" s="56"/>
      <c r="L553" s="56"/>
    </row>
    <row r="554" spans="1:95" ht="14.25">
      <c r="A554" s="53"/>
      <c r="B554" s="54"/>
      <c r="C554" s="106" t="s">
        <v>828</v>
      </c>
      <c r="D554" s="106"/>
      <c r="E554" s="106"/>
      <c r="F554" s="106"/>
      <c r="G554" s="106"/>
      <c r="H554" s="106"/>
      <c r="I554" s="55"/>
      <c r="J554" s="56">
        <f>Source!F239</f>
        <v>243.74</v>
      </c>
      <c r="K554" s="56"/>
      <c r="L554" s="56"/>
    </row>
    <row r="555" spans="1:95" ht="14.25" hidden="1" customHeight="1">
      <c r="A555" s="53"/>
      <c r="B555" s="54"/>
      <c r="C555" s="106" t="s">
        <v>829</v>
      </c>
      <c r="D555" s="106"/>
      <c r="E555" s="106"/>
      <c r="F555" s="106"/>
      <c r="G555" s="106"/>
      <c r="H555" s="106"/>
      <c r="I555" s="55"/>
      <c r="J555" s="56">
        <f>Source!F221</f>
        <v>0</v>
      </c>
      <c r="K555" s="56"/>
      <c r="L555" s="56"/>
    </row>
    <row r="556" spans="1:95" ht="14.25" hidden="1" customHeight="1">
      <c r="A556" s="53"/>
      <c r="B556" s="54"/>
      <c r="C556" s="106" t="s">
        <v>830</v>
      </c>
      <c r="D556" s="106"/>
      <c r="E556" s="106"/>
      <c r="F556" s="106"/>
      <c r="G556" s="106"/>
      <c r="H556" s="106"/>
      <c r="I556" s="55"/>
      <c r="J556" s="56">
        <f>Source!F231</f>
        <v>0</v>
      </c>
      <c r="K556" s="56"/>
      <c r="L556" s="56"/>
    </row>
    <row r="557" spans="1:95" ht="15">
      <c r="A557" s="49"/>
      <c r="B557" s="50"/>
      <c r="C557" s="107" t="s">
        <v>831</v>
      </c>
      <c r="D557" s="107"/>
      <c r="E557" s="107"/>
      <c r="F557" s="107"/>
      <c r="G557" s="107"/>
      <c r="H557" s="107"/>
      <c r="I557" s="51"/>
      <c r="J557" s="52">
        <f>Source!F240</f>
        <v>27536.18</v>
      </c>
      <c r="K557" s="52"/>
      <c r="L557" s="52"/>
    </row>
    <row r="558" spans="1:95" ht="14.25">
      <c r="A558" s="53"/>
      <c r="B558" s="54"/>
      <c r="C558" s="105" t="s">
        <v>821</v>
      </c>
      <c r="D558" s="106"/>
      <c r="E558" s="106"/>
      <c r="F558" s="106"/>
      <c r="G558" s="106"/>
      <c r="H558" s="106"/>
      <c r="I558" s="55"/>
      <c r="J558" s="56"/>
      <c r="K558" s="56"/>
      <c r="L558" s="56"/>
    </row>
    <row r="559" spans="1:95" ht="14.25">
      <c r="A559" s="53"/>
      <c r="B559" s="54"/>
      <c r="C559" s="106" t="s">
        <v>832</v>
      </c>
      <c r="D559" s="106"/>
      <c r="E559" s="106"/>
      <c r="F559" s="106"/>
      <c r="G559" s="106"/>
      <c r="H559" s="106"/>
      <c r="I559" s="55"/>
      <c r="J559" s="56"/>
      <c r="K559" s="56"/>
      <c r="L559" s="56">
        <f>SUM(BS422:BS544)</f>
        <v>126363.05</v>
      </c>
    </row>
    <row r="560" spans="1:95" ht="14.25" hidden="1" customHeight="1">
      <c r="A560" s="53"/>
      <c r="B560" s="54"/>
      <c r="C560" s="106" t="s">
        <v>833</v>
      </c>
      <c r="D560" s="106"/>
      <c r="E560" s="106"/>
      <c r="F560" s="106"/>
      <c r="G560" s="106"/>
      <c r="H560" s="106"/>
      <c r="I560" s="55"/>
      <c r="J560" s="56"/>
      <c r="K560" s="56"/>
      <c r="L560" s="56">
        <f>SUM(BT422:BT544)</f>
        <v>0</v>
      </c>
    </row>
    <row r="561" spans="1:71" ht="14.25">
      <c r="C561" s="104" t="str">
        <f>Source!H241</f>
        <v>Итого прямые затраты</v>
      </c>
      <c r="D561" s="104"/>
      <c r="E561" s="104"/>
      <c r="F561" s="104"/>
      <c r="G561" s="104"/>
      <c r="H561" s="104"/>
      <c r="I561" s="104"/>
      <c r="J561" s="34">
        <f>IF(Source!W241=0, "", Source!W241)</f>
        <v>26985</v>
      </c>
    </row>
    <row r="562" spans="1:71" ht="14.25">
      <c r="C562" s="104" t="str">
        <f>Source!H242</f>
        <v>Накладные расходы</v>
      </c>
      <c r="D562" s="104"/>
      <c r="E562" s="104"/>
      <c r="F562" s="104"/>
      <c r="G562" s="104"/>
      <c r="H562" s="104"/>
      <c r="I562" s="104"/>
      <c r="J562" s="34">
        <f>IF(Source!W242=0, "", Source!W242)</f>
        <v>308</v>
      </c>
    </row>
    <row r="563" spans="1:71" ht="14.25">
      <c r="C563" s="104" t="str">
        <f>Source!H243</f>
        <v>Сметная прибыль</v>
      </c>
      <c r="D563" s="104"/>
      <c r="E563" s="104"/>
      <c r="F563" s="104"/>
      <c r="G563" s="104"/>
      <c r="H563" s="104"/>
      <c r="I563" s="104"/>
      <c r="J563" s="34">
        <f>IF(Source!W243=0, "", Source!W243)</f>
        <v>244</v>
      </c>
    </row>
    <row r="564" spans="1:71" ht="14.25">
      <c r="C564" s="104" t="str">
        <f>Source!H244</f>
        <v>Итого</v>
      </c>
      <c r="D564" s="104"/>
      <c r="E564" s="104"/>
      <c r="F564" s="104"/>
      <c r="G564" s="104"/>
      <c r="H564" s="104"/>
      <c r="I564" s="104"/>
      <c r="J564" s="35">
        <f>IF(Source!W244=0, "", Source!W244)</f>
        <v>27537</v>
      </c>
    </row>
    <row r="565" spans="1:71" ht="14.25">
      <c r="C565" s="104" t="str">
        <f>Source!H245</f>
        <v>В том числе общестроительные работы</v>
      </c>
      <c r="D565" s="104"/>
      <c r="E565" s="104"/>
      <c r="F565" s="104"/>
      <c r="G565" s="104"/>
      <c r="H565" s="104"/>
      <c r="I565" s="104"/>
      <c r="J565" s="35">
        <f>IF(Source!W245=0, "", Source!W245)</f>
        <v>2999.66</v>
      </c>
    </row>
    <row r="566" spans="1:71" ht="14.25">
      <c r="C566" s="104" t="str">
        <f>Source!H246</f>
        <v>В том числе монтажные работы</v>
      </c>
      <c r="D566" s="104"/>
      <c r="E566" s="104"/>
      <c r="F566" s="104"/>
      <c r="G566" s="104"/>
      <c r="H566" s="104"/>
      <c r="I566" s="104"/>
      <c r="J566" s="35">
        <f>IF(Source!W246=0, "", Source!W246)</f>
        <v>24536.52</v>
      </c>
    </row>
    <row r="567" spans="1:71" ht="16.5">
      <c r="A567" s="109" t="s">
        <v>871</v>
      </c>
      <c r="B567" s="109"/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</row>
    <row r="568" spans="1:71" ht="39.75">
      <c r="A568" s="57">
        <v>41</v>
      </c>
      <c r="B568" s="57" t="str">
        <f>Source!F255</f>
        <v>Прайс-лист</v>
      </c>
      <c r="C568" s="57" t="s">
        <v>872</v>
      </c>
      <c r="D568" s="42" t="str">
        <f>Source!H255</f>
        <v>м</v>
      </c>
      <c r="E568" s="38">
        <f>Source!K255</f>
        <v>940</v>
      </c>
      <c r="F568" s="38"/>
      <c r="G568" s="38">
        <f>Source!I255</f>
        <v>940</v>
      </c>
      <c r="H568" s="35">
        <f>Source!AL255</f>
        <v>1446.58</v>
      </c>
      <c r="I568" s="43"/>
      <c r="J568" s="35">
        <f>Source!P255</f>
        <v>264035.96000000002</v>
      </c>
      <c r="K568" s="43">
        <f>IF(Source!BC255&lt;&gt; 0, Source!BC255, 1)</f>
        <v>5.15</v>
      </c>
      <c r="L568" s="35">
        <f>Source!HG255</f>
        <v>1359785.2</v>
      </c>
      <c r="AG568">
        <f>Source!X255</f>
        <v>0</v>
      </c>
      <c r="AH568">
        <f>Source!HK255</f>
        <v>0</v>
      </c>
      <c r="AI568">
        <f>Source!Y255</f>
        <v>0</v>
      </c>
      <c r="AJ568">
        <f>Source!HL255</f>
        <v>0</v>
      </c>
      <c r="AS568">
        <f>IF(Source!BI255&lt;=1,AH568, 0)</f>
        <v>0</v>
      </c>
      <c r="AT568">
        <f>IF(Source!BI255&lt;=1,AJ568, 0)</f>
        <v>0</v>
      </c>
      <c r="BC568">
        <f>IF(Source!BI255=2,AH568, 0)</f>
        <v>0</v>
      </c>
      <c r="BD568">
        <f>IF(Source!BI255=2,AJ568, 0)</f>
        <v>0</v>
      </c>
    </row>
    <row r="569" spans="1:71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</row>
    <row r="570" spans="1:71" ht="15">
      <c r="C570" s="108" t="s">
        <v>802</v>
      </c>
      <c r="D570" s="108"/>
      <c r="E570" s="108"/>
      <c r="F570" s="108"/>
      <c r="G570" s="108"/>
      <c r="H570" s="108"/>
      <c r="I570" s="108">
        <f>J568</f>
        <v>264035.96000000002</v>
      </c>
      <c r="J570" s="108"/>
      <c r="K570" s="108">
        <f>L568</f>
        <v>1359785.2</v>
      </c>
      <c r="L570" s="108"/>
      <c r="O570" s="33">
        <f>I570</f>
        <v>264035.96000000002</v>
      </c>
      <c r="P570" s="33">
        <f>K570</f>
        <v>1359785.2</v>
      </c>
      <c r="Q570">
        <f>0</f>
        <v>0</v>
      </c>
      <c r="R570">
        <f>0</f>
        <v>0</v>
      </c>
      <c r="U570">
        <f>0</f>
        <v>0</v>
      </c>
      <c r="X570">
        <f>0</f>
        <v>0</v>
      </c>
      <c r="Z570">
        <f>0</f>
        <v>0</v>
      </c>
      <c r="AB570">
        <f>0</f>
        <v>0</v>
      </c>
      <c r="AD570">
        <f>0</f>
        <v>0</v>
      </c>
      <c r="AF570" s="33">
        <f>I570</f>
        <v>264035.96000000002</v>
      </c>
      <c r="AN570">
        <f>IF(Source!BI255&lt;=1,J568, 0)</f>
        <v>0</v>
      </c>
      <c r="AO570">
        <f>IF(Source!BI255&lt;=1,I570, 0)</f>
        <v>0</v>
      </c>
      <c r="AP570">
        <f>IF(Source!BI255&lt;=1,0, 0)</f>
        <v>0</v>
      </c>
      <c r="AQ570">
        <f>IF(Source!BI255&lt;=1,0, 0)</f>
        <v>0</v>
      </c>
      <c r="AX570">
        <f>IF(Source!BI255=2,J568, 0)</f>
        <v>264035.96000000002</v>
      </c>
      <c r="AY570">
        <f>IF(Source!BI255=2,I570, 0)</f>
        <v>264035.96000000002</v>
      </c>
      <c r="AZ570">
        <f>IF(Source!BI255=2,0, 0)</f>
        <v>0</v>
      </c>
      <c r="BA570">
        <f>IF(Source!BI255=2,0, 0)</f>
        <v>0</v>
      </c>
      <c r="BQ570" s="33">
        <f>I570</f>
        <v>264035.96000000002</v>
      </c>
      <c r="BS570" s="33">
        <f>K570</f>
        <v>1359785.2</v>
      </c>
    </row>
    <row r="571" spans="1:71" ht="28.5">
      <c r="A571" s="57">
        <v>42</v>
      </c>
      <c r="B571" s="57" t="str">
        <f>Source!F256</f>
        <v>408-0122</v>
      </c>
      <c r="C571" s="57" t="str">
        <f>Source!G256</f>
        <v>Песок природный для строительных работ средний</v>
      </c>
      <c r="D571" s="42" t="str">
        <f>Source!H256</f>
        <v>м3</v>
      </c>
      <c r="E571" s="38">
        <f>Source!K256</f>
        <v>34.11</v>
      </c>
      <c r="F571" s="38"/>
      <c r="G571" s="38">
        <f>Source!I256</f>
        <v>34.11</v>
      </c>
      <c r="H571" s="35">
        <f>Source!AL256</f>
        <v>107.3</v>
      </c>
      <c r="I571" s="43"/>
      <c r="J571" s="35">
        <f>ROUND(Source!AC256*Source!I256, 2)</f>
        <v>3660</v>
      </c>
      <c r="K571" s="43"/>
      <c r="L571" s="35"/>
      <c r="AG571">
        <f>Source!X256</f>
        <v>0</v>
      </c>
      <c r="AH571">
        <f>Source!HK256</f>
        <v>0</v>
      </c>
      <c r="AI571">
        <f>Source!Y256</f>
        <v>0</v>
      </c>
      <c r="AJ571">
        <f>Source!HL256</f>
        <v>0</v>
      </c>
      <c r="AS571">
        <f>IF(Source!BI256&lt;=1,AH571, 0)</f>
        <v>0</v>
      </c>
      <c r="AT571">
        <f>IF(Source!BI256&lt;=1,AJ571, 0)</f>
        <v>0</v>
      </c>
      <c r="BC571">
        <f>IF(Source!BI256=2,AH571, 0)</f>
        <v>0</v>
      </c>
      <c r="BD571">
        <f>IF(Source!BI256=2,AJ571, 0)</f>
        <v>0</v>
      </c>
    </row>
    <row r="572" spans="1:71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</row>
    <row r="573" spans="1:71" ht="15">
      <c r="C573" s="108" t="s">
        <v>802</v>
      </c>
      <c r="D573" s="108"/>
      <c r="E573" s="108"/>
      <c r="F573" s="108"/>
      <c r="G573" s="108"/>
      <c r="H573" s="108"/>
      <c r="I573" s="108">
        <f>J571</f>
        <v>3660</v>
      </c>
      <c r="J573" s="108"/>
      <c r="O573" s="33">
        <f>I573</f>
        <v>3660</v>
      </c>
      <c r="P573">
        <f>K573</f>
        <v>0</v>
      </c>
      <c r="Q573">
        <f>0</f>
        <v>0</v>
      </c>
      <c r="R573">
        <f>0</f>
        <v>0</v>
      </c>
      <c r="U573">
        <f>0</f>
        <v>0</v>
      </c>
      <c r="X573">
        <f>0</f>
        <v>0</v>
      </c>
      <c r="Z573">
        <f>0</f>
        <v>0</v>
      </c>
      <c r="AB573">
        <f>0</f>
        <v>0</v>
      </c>
      <c r="AD573">
        <f>0</f>
        <v>0</v>
      </c>
      <c r="AF573" s="33">
        <f>I573</f>
        <v>3660</v>
      </c>
      <c r="AN573">
        <f>IF(Source!BI256&lt;=1,J571, 0)</f>
        <v>3660</v>
      </c>
      <c r="AO573">
        <f>IF(Source!BI256&lt;=1,I573, 0)</f>
        <v>3660</v>
      </c>
      <c r="AP573">
        <f>IF(Source!BI256&lt;=1,0, 0)</f>
        <v>0</v>
      </c>
      <c r="AQ573">
        <f>IF(Source!BI256&lt;=1,0, 0)</f>
        <v>0</v>
      </c>
      <c r="AX573">
        <f>IF(Source!BI256=2,J571, 0)</f>
        <v>0</v>
      </c>
      <c r="AY573">
        <f>IF(Source!BI256=2,I573, 0)</f>
        <v>0</v>
      </c>
      <c r="AZ573">
        <f>IF(Source!BI256=2,0, 0)</f>
        <v>0</v>
      </c>
      <c r="BA573">
        <f>IF(Source!BI256=2,0, 0)</f>
        <v>0</v>
      </c>
    </row>
    <row r="574" spans="1:71" ht="39.75">
      <c r="A574" s="57">
        <v>43</v>
      </c>
      <c r="B574" s="57" t="str">
        <f>Source!F257</f>
        <v>Прайс-лист</v>
      </c>
      <c r="C574" s="57" t="s">
        <v>873</v>
      </c>
      <c r="D574" s="42" t="str">
        <f>Source!H257</f>
        <v>шт.</v>
      </c>
      <c r="E574" s="38">
        <f>Source!K257</f>
        <v>3070</v>
      </c>
      <c r="F574" s="38"/>
      <c r="G574" s="38">
        <f>Source!I257</f>
        <v>3070</v>
      </c>
      <c r="H574" s="35">
        <f>Source!AL257</f>
        <v>21.520000000000003</v>
      </c>
      <c r="I574" s="43"/>
      <c r="J574" s="35">
        <f>Source!P257</f>
        <v>12828.43</v>
      </c>
      <c r="K574" s="43">
        <f>IF(Source!BC257&lt;&gt; 0, Source!BC257, 1)</f>
        <v>5.15</v>
      </c>
      <c r="L574" s="35">
        <f>Source!HG257</f>
        <v>66066.399999999994</v>
      </c>
      <c r="AG574">
        <f>Source!X257</f>
        <v>0</v>
      </c>
      <c r="AH574">
        <f>Source!HK257</f>
        <v>0</v>
      </c>
      <c r="AI574">
        <f>Source!Y257</f>
        <v>0</v>
      </c>
      <c r="AJ574">
        <f>Source!HL257</f>
        <v>0</v>
      </c>
      <c r="AS574">
        <f>IF(Source!BI257&lt;=1,AH574, 0)</f>
        <v>0</v>
      </c>
      <c r="AT574">
        <f>IF(Source!BI257&lt;=1,AJ574, 0)</f>
        <v>0</v>
      </c>
      <c r="BC574">
        <f>IF(Source!BI257=2,AH574, 0)</f>
        <v>0</v>
      </c>
      <c r="BD574">
        <f>IF(Source!BI257=2,AJ574, 0)</f>
        <v>0</v>
      </c>
    </row>
    <row r="575" spans="1:71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</row>
    <row r="576" spans="1:71" ht="15">
      <c r="C576" s="108" t="s">
        <v>802</v>
      </c>
      <c r="D576" s="108"/>
      <c r="E576" s="108"/>
      <c r="F576" s="108"/>
      <c r="G576" s="108"/>
      <c r="H576" s="108"/>
      <c r="I576" s="108">
        <f>J574</f>
        <v>12828.43</v>
      </c>
      <c r="J576" s="108"/>
      <c r="K576" s="108">
        <f>L574</f>
        <v>66066.399999999994</v>
      </c>
      <c r="L576" s="108"/>
      <c r="O576" s="33">
        <f>I576</f>
        <v>12828.43</v>
      </c>
      <c r="P576" s="33">
        <f>K576</f>
        <v>66066.399999999994</v>
      </c>
      <c r="Q576">
        <f>0</f>
        <v>0</v>
      </c>
      <c r="R576">
        <f>0</f>
        <v>0</v>
      </c>
      <c r="U576">
        <f>0</f>
        <v>0</v>
      </c>
      <c r="X576">
        <f>0</f>
        <v>0</v>
      </c>
      <c r="Z576">
        <f>0</f>
        <v>0</v>
      </c>
      <c r="AB576">
        <f>0</f>
        <v>0</v>
      </c>
      <c r="AD576">
        <f>0</f>
        <v>0</v>
      </c>
      <c r="AF576" s="33">
        <f>I576</f>
        <v>12828.43</v>
      </c>
      <c r="AN576">
        <f>IF(Source!BI257&lt;=1,J574, 0)</f>
        <v>0</v>
      </c>
      <c r="AO576">
        <f>IF(Source!BI257&lt;=1,I576, 0)</f>
        <v>0</v>
      </c>
      <c r="AP576">
        <f>IF(Source!BI257&lt;=1,0, 0)</f>
        <v>0</v>
      </c>
      <c r="AQ576">
        <f>IF(Source!BI257&lt;=1,0, 0)</f>
        <v>0</v>
      </c>
      <c r="AX576">
        <f>IF(Source!BI257=2,J574, 0)</f>
        <v>12828.43</v>
      </c>
      <c r="AY576">
        <f>IF(Source!BI257=2,I576, 0)</f>
        <v>12828.43</v>
      </c>
      <c r="AZ576">
        <f>IF(Source!BI257=2,0, 0)</f>
        <v>0</v>
      </c>
      <c r="BA576">
        <f>IF(Source!BI257=2,0, 0)</f>
        <v>0</v>
      </c>
      <c r="BQ576" s="33">
        <f>I576</f>
        <v>12828.43</v>
      </c>
      <c r="BS576" s="33">
        <f>K576</f>
        <v>66066.399999999994</v>
      </c>
    </row>
    <row r="577" spans="1:95" ht="14.25">
      <c r="A577" s="57">
        <v>44</v>
      </c>
      <c r="B577" s="57" t="str">
        <f>Source!F258</f>
        <v>509-0808</v>
      </c>
      <c r="C577" s="57" t="str">
        <f>Source!G258</f>
        <v>Заделки концевые эпоксидные</v>
      </c>
      <c r="D577" s="42" t="str">
        <f>Source!H258</f>
        <v>компл.</v>
      </c>
      <c r="E577" s="38">
        <f>Source!K258</f>
        <v>2</v>
      </c>
      <c r="F577" s="38"/>
      <c r="G577" s="38">
        <f>Source!I258</f>
        <v>2</v>
      </c>
      <c r="H577" s="35">
        <f>Source!AL258</f>
        <v>585.72</v>
      </c>
      <c r="I577" s="43"/>
      <c r="J577" s="35">
        <f>ROUND(Source!AC258*Source!I258, 2)</f>
        <v>1171.44</v>
      </c>
      <c r="K577" s="43"/>
      <c r="L577" s="35"/>
      <c r="AG577">
        <f>Source!X258</f>
        <v>0</v>
      </c>
      <c r="AH577">
        <f>Source!HK258</f>
        <v>0</v>
      </c>
      <c r="AI577">
        <f>Source!Y258</f>
        <v>0</v>
      </c>
      <c r="AJ577">
        <f>Source!HL258</f>
        <v>0</v>
      </c>
      <c r="AS577">
        <f>IF(Source!BI258&lt;=1,AH577, 0)</f>
        <v>0</v>
      </c>
      <c r="AT577">
        <f>IF(Source!BI258&lt;=1,AJ577, 0)</f>
        <v>0</v>
      </c>
      <c r="BC577">
        <f>IF(Source!BI258=2,AH577, 0)</f>
        <v>0</v>
      </c>
      <c r="BD577">
        <f>IF(Source!BI258=2,AJ577, 0)</f>
        <v>0</v>
      </c>
    </row>
    <row r="578" spans="1:95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</row>
    <row r="579" spans="1:95" ht="15">
      <c r="C579" s="108" t="s">
        <v>802</v>
      </c>
      <c r="D579" s="108"/>
      <c r="E579" s="108"/>
      <c r="F579" s="108"/>
      <c r="G579" s="108"/>
      <c r="H579" s="108"/>
      <c r="I579" s="108">
        <f>J577</f>
        <v>1171.44</v>
      </c>
      <c r="J579" s="108"/>
      <c r="O579" s="33">
        <f>I579</f>
        <v>1171.44</v>
      </c>
      <c r="P579">
        <f>K579</f>
        <v>0</v>
      </c>
      <c r="Q579">
        <f>0</f>
        <v>0</v>
      </c>
      <c r="R579">
        <f>0</f>
        <v>0</v>
      </c>
      <c r="U579">
        <f>0</f>
        <v>0</v>
      </c>
      <c r="X579">
        <f>0</f>
        <v>0</v>
      </c>
      <c r="Z579">
        <f>0</f>
        <v>0</v>
      </c>
      <c r="AB579">
        <f>0</f>
        <v>0</v>
      </c>
      <c r="AD579">
        <f>0</f>
        <v>0</v>
      </c>
      <c r="AF579" s="33">
        <f>I579</f>
        <v>1171.44</v>
      </c>
      <c r="AN579">
        <f>IF(Source!BI258&lt;=1,J577, 0)</f>
        <v>0</v>
      </c>
      <c r="AO579">
        <f>IF(Source!BI258&lt;=1,I579, 0)</f>
        <v>0</v>
      </c>
      <c r="AP579">
        <f>IF(Source!BI258&lt;=1,0, 0)</f>
        <v>0</v>
      </c>
      <c r="AQ579">
        <f>IF(Source!BI258&lt;=1,0, 0)</f>
        <v>0</v>
      </c>
      <c r="AX579">
        <f>IF(Source!BI258=2,J577, 0)</f>
        <v>1171.44</v>
      </c>
      <c r="AY579">
        <f>IF(Source!BI258=2,I579, 0)</f>
        <v>1171.44</v>
      </c>
      <c r="AZ579">
        <f>IF(Source!BI258=2,0, 0)</f>
        <v>0</v>
      </c>
      <c r="BA579">
        <f>IF(Source!BI258=2,0, 0)</f>
        <v>0</v>
      </c>
    </row>
    <row r="580" spans="1:95" ht="99.75">
      <c r="A580" s="57">
        <v>45</v>
      </c>
      <c r="B580" s="57" t="str">
        <f>Source!F259</f>
        <v>502-0775</v>
      </c>
      <c r="C580" s="57" t="str">
        <f>Source!G259</f>
        <v>Муфта термоусаживаемая соединительная для кабеля с пропитанной бумажной изоляцией на напряжение до 1 кВ марки 4ПСТ-150/240 с болтовыми соединителями комплектом пайки для присоединения заземления</v>
      </c>
      <c r="D580" s="42" t="str">
        <f>Source!H259</f>
        <v>компл.</v>
      </c>
      <c r="E580" s="38">
        <f>Source!K259</f>
        <v>8</v>
      </c>
      <c r="F580" s="38"/>
      <c r="G580" s="38">
        <f>Source!I259</f>
        <v>8</v>
      </c>
      <c r="H580" s="35">
        <f>Source!AL259</f>
        <v>1378.22</v>
      </c>
      <c r="I580" s="43"/>
      <c r="J580" s="35">
        <f>ROUND(Source!AC259*Source!I259, 2)</f>
        <v>11025.76</v>
      </c>
      <c r="K580" s="43"/>
      <c r="L580" s="35"/>
      <c r="AG580">
        <f>Source!X259</f>
        <v>0</v>
      </c>
      <c r="AH580">
        <f>Source!HK259</f>
        <v>0</v>
      </c>
      <c r="AI580">
        <f>Source!Y259</f>
        <v>0</v>
      </c>
      <c r="AJ580">
        <f>Source!HL259</f>
        <v>0</v>
      </c>
      <c r="AS580">
        <f>IF(Source!BI259&lt;=1,AH580, 0)</f>
        <v>0</v>
      </c>
      <c r="AT580">
        <f>IF(Source!BI259&lt;=1,AJ580, 0)</f>
        <v>0</v>
      </c>
      <c r="BC580">
        <f>IF(Source!BI259=2,AH580, 0)</f>
        <v>0</v>
      </c>
      <c r="BD580">
        <f>IF(Source!BI259=2,AJ580, 0)</f>
        <v>0</v>
      </c>
    </row>
    <row r="581" spans="1:95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</row>
    <row r="582" spans="1:95" ht="15">
      <c r="C582" s="108" t="s">
        <v>802</v>
      </c>
      <c r="D582" s="108"/>
      <c r="E582" s="108"/>
      <c r="F582" s="108"/>
      <c r="G582" s="108"/>
      <c r="H582" s="108"/>
      <c r="I582" s="108">
        <f>J580</f>
        <v>11025.76</v>
      </c>
      <c r="J582" s="108"/>
      <c r="O582" s="33">
        <f>I582</f>
        <v>11025.76</v>
      </c>
      <c r="P582">
        <f>K582</f>
        <v>0</v>
      </c>
      <c r="Q582">
        <f>0</f>
        <v>0</v>
      </c>
      <c r="R582">
        <f>0</f>
        <v>0</v>
      </c>
      <c r="U582">
        <f>0</f>
        <v>0</v>
      </c>
      <c r="X582">
        <f>0</f>
        <v>0</v>
      </c>
      <c r="Z582">
        <f>0</f>
        <v>0</v>
      </c>
      <c r="AB582">
        <f>0</f>
        <v>0</v>
      </c>
      <c r="AD582">
        <f>0</f>
        <v>0</v>
      </c>
      <c r="AF582" s="33">
        <f>I582</f>
        <v>11025.76</v>
      </c>
      <c r="AN582">
        <f>IF(Source!BI259&lt;=1,J580, 0)</f>
        <v>0</v>
      </c>
      <c r="AO582">
        <f>IF(Source!BI259&lt;=1,I582, 0)</f>
        <v>0</v>
      </c>
      <c r="AP582">
        <f>IF(Source!BI259&lt;=1,0, 0)</f>
        <v>0</v>
      </c>
      <c r="AQ582">
        <f>IF(Source!BI259&lt;=1,0, 0)</f>
        <v>0</v>
      </c>
      <c r="AX582">
        <f>IF(Source!BI259=2,J580, 0)</f>
        <v>11025.76</v>
      </c>
      <c r="AY582">
        <f>IF(Source!BI259=2,I582, 0)</f>
        <v>11025.76</v>
      </c>
      <c r="AZ582">
        <f>IF(Source!BI259=2,0, 0)</f>
        <v>0</v>
      </c>
      <c r="BA582">
        <f>IF(Source!BI259=2,0, 0)</f>
        <v>0</v>
      </c>
    </row>
    <row r="583" spans="1:95" ht="14.25">
      <c r="A583" s="57">
        <v>46</v>
      </c>
      <c r="B583" s="57" t="str">
        <f>Source!F260</f>
        <v>509-2898</v>
      </c>
      <c r="C583" s="57" t="str">
        <f>Source!G260</f>
        <v>Предохранители плавкие ПН2-250</v>
      </c>
      <c r="D583" s="42" t="str">
        <f>Source!H260</f>
        <v>шт.</v>
      </c>
      <c r="E583" s="38">
        <f>Source!K260</f>
        <v>6</v>
      </c>
      <c r="F583" s="38"/>
      <c r="G583" s="38">
        <f>Source!I260</f>
        <v>6</v>
      </c>
      <c r="H583" s="35">
        <f>Source!AL260</f>
        <v>47.55</v>
      </c>
      <c r="I583" s="43"/>
      <c r="J583" s="35">
        <f>ROUND(Source!AC260*Source!I260, 2)</f>
        <v>285.3</v>
      </c>
      <c r="K583" s="43"/>
      <c r="L583" s="35"/>
      <c r="AG583">
        <f>Source!X260</f>
        <v>0</v>
      </c>
      <c r="AH583">
        <f>Source!HK260</f>
        <v>0</v>
      </c>
      <c r="AI583">
        <f>Source!Y260</f>
        <v>0</v>
      </c>
      <c r="AJ583">
        <f>Source!HL260</f>
        <v>0</v>
      </c>
      <c r="AS583">
        <f>IF(Source!BI260&lt;=1,AH583, 0)</f>
        <v>0</v>
      </c>
      <c r="AT583">
        <f>IF(Source!BI260&lt;=1,AJ583, 0)</f>
        <v>0</v>
      </c>
      <c r="BC583">
        <f>IF(Source!BI260=2,AH583, 0)</f>
        <v>0</v>
      </c>
      <c r="BD583">
        <f>IF(Source!BI260=2,AJ583, 0)</f>
        <v>0</v>
      </c>
    </row>
    <row r="584" spans="1:95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</row>
    <row r="585" spans="1:95" ht="15">
      <c r="C585" s="108" t="s">
        <v>802</v>
      </c>
      <c r="D585" s="108"/>
      <c r="E585" s="108"/>
      <c r="F585" s="108"/>
      <c r="G585" s="108"/>
      <c r="H585" s="108"/>
      <c r="I585" s="108">
        <f>J583</f>
        <v>285.3</v>
      </c>
      <c r="J585" s="108"/>
      <c r="O585" s="33">
        <f>I585</f>
        <v>285.3</v>
      </c>
      <c r="P585">
        <f>K585</f>
        <v>0</v>
      </c>
      <c r="Q585">
        <f>0</f>
        <v>0</v>
      </c>
      <c r="R585">
        <f>0</f>
        <v>0</v>
      </c>
      <c r="U585">
        <f>0</f>
        <v>0</v>
      </c>
      <c r="X585">
        <f>0</f>
        <v>0</v>
      </c>
      <c r="Z585">
        <f>0</f>
        <v>0</v>
      </c>
      <c r="AB585">
        <f>0</f>
        <v>0</v>
      </c>
      <c r="AD585">
        <f>0</f>
        <v>0</v>
      </c>
      <c r="AF585" s="33">
        <f>I585</f>
        <v>285.3</v>
      </c>
      <c r="AN585">
        <f>IF(Source!BI260&lt;=1,J583, 0)</f>
        <v>0</v>
      </c>
      <c r="AO585">
        <f>IF(Source!BI260&lt;=1,I585, 0)</f>
        <v>0</v>
      </c>
      <c r="AP585">
        <f>IF(Source!BI260&lt;=1,0, 0)</f>
        <v>0</v>
      </c>
      <c r="AQ585">
        <f>IF(Source!BI260&lt;=1,0, 0)</f>
        <v>0</v>
      </c>
      <c r="AX585">
        <f>IF(Source!BI260=2,J583, 0)</f>
        <v>285.3</v>
      </c>
      <c r="AY585">
        <f>IF(Source!BI260=2,I585, 0)</f>
        <v>285.3</v>
      </c>
      <c r="AZ585">
        <f>IF(Source!BI260=2,0, 0)</f>
        <v>0</v>
      </c>
      <c r="BA585">
        <f>IF(Source!BI260=2,0, 0)</f>
        <v>0</v>
      </c>
    </row>
    <row r="586" spans="1:95" ht="54">
      <c r="A586" s="57">
        <v>47</v>
      </c>
      <c r="B586" s="57" t="str">
        <f>Source!F261</f>
        <v>Прайс-лист</v>
      </c>
      <c r="C586" s="57" t="s">
        <v>874</v>
      </c>
      <c r="D586" s="42" t="str">
        <f>Source!H261</f>
        <v>ШТ</v>
      </c>
      <c r="E586" s="38">
        <f>Source!K261</f>
        <v>8</v>
      </c>
      <c r="F586" s="38"/>
      <c r="G586" s="38">
        <f>Source!I261</f>
        <v>8</v>
      </c>
      <c r="H586" s="35">
        <f>Source!AL261</f>
        <v>626.82999999999993</v>
      </c>
      <c r="I586" s="43"/>
      <c r="J586" s="35">
        <f>Source!P261</f>
        <v>973.72</v>
      </c>
      <c r="K586" s="43">
        <f>IF(Source!BC261&lt;&gt; 0, Source!BC261, 1)</f>
        <v>5.15</v>
      </c>
      <c r="L586" s="35">
        <f>Source!HG261</f>
        <v>5014.6400000000003</v>
      </c>
      <c r="AG586">
        <f>Source!X261</f>
        <v>0</v>
      </c>
      <c r="AH586">
        <f>Source!HK261</f>
        <v>0</v>
      </c>
      <c r="AI586">
        <f>Source!Y261</f>
        <v>0</v>
      </c>
      <c r="AJ586">
        <f>Source!HL261</f>
        <v>0</v>
      </c>
      <c r="AS586">
        <f>IF(Source!BI261&lt;=1,AH586, 0)</f>
        <v>0</v>
      </c>
      <c r="AT586">
        <f>IF(Source!BI261&lt;=1,AJ586, 0)</f>
        <v>0</v>
      </c>
      <c r="BC586">
        <f>IF(Source!BI261=2,AH586, 0)</f>
        <v>0</v>
      </c>
      <c r="BD586">
        <f>IF(Source!BI261=2,AJ586, 0)</f>
        <v>0</v>
      </c>
    </row>
    <row r="587" spans="1:95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</row>
    <row r="588" spans="1:95" ht="15">
      <c r="C588" s="108" t="s">
        <v>802</v>
      </c>
      <c r="D588" s="108"/>
      <c r="E588" s="108"/>
      <c r="F588" s="108"/>
      <c r="G588" s="108"/>
      <c r="H588" s="108"/>
      <c r="I588" s="108">
        <f>J586</f>
        <v>973.72</v>
      </c>
      <c r="J588" s="108"/>
      <c r="K588" s="108">
        <f>L586</f>
        <v>5014.6400000000003</v>
      </c>
      <c r="L588" s="108"/>
      <c r="O588" s="33">
        <f>I588</f>
        <v>973.72</v>
      </c>
      <c r="P588" s="33">
        <f>K588</f>
        <v>5014.6400000000003</v>
      </c>
      <c r="Q588">
        <f>0</f>
        <v>0</v>
      </c>
      <c r="R588">
        <f>0</f>
        <v>0</v>
      </c>
      <c r="U588">
        <f>0</f>
        <v>0</v>
      </c>
      <c r="X588">
        <f>0</f>
        <v>0</v>
      </c>
      <c r="Z588">
        <f>0</f>
        <v>0</v>
      </c>
      <c r="AB588">
        <f>0</f>
        <v>0</v>
      </c>
      <c r="AD588">
        <f>0</f>
        <v>0</v>
      </c>
      <c r="AF588" s="33">
        <f>I588</f>
        <v>973.72</v>
      </c>
      <c r="AN588">
        <f>IF(Source!BI261&lt;=1,J586, 0)</f>
        <v>0</v>
      </c>
      <c r="AO588">
        <f>IF(Source!BI261&lt;=1,I588, 0)</f>
        <v>0</v>
      </c>
      <c r="AP588">
        <f>IF(Source!BI261&lt;=1,0, 0)</f>
        <v>0</v>
      </c>
      <c r="AQ588">
        <f>IF(Source!BI261&lt;=1,0, 0)</f>
        <v>0</v>
      </c>
      <c r="AX588">
        <f>IF(Source!BI261=2,J586, 0)</f>
        <v>973.72</v>
      </c>
      <c r="AY588">
        <f>IF(Source!BI261=2,I588, 0)</f>
        <v>973.72</v>
      </c>
      <c r="AZ588">
        <f>IF(Source!BI261=2,0, 0)</f>
        <v>0</v>
      </c>
      <c r="BA588">
        <f>IF(Source!BI261=2,0, 0)</f>
        <v>0</v>
      </c>
      <c r="BQ588" s="33">
        <f>I588</f>
        <v>973.72</v>
      </c>
      <c r="BS588" s="33">
        <f>K588</f>
        <v>5014.6400000000003</v>
      </c>
    </row>
    <row r="590" spans="1:95" ht="15">
      <c r="A590" s="49"/>
      <c r="B590" s="50"/>
      <c r="C590" s="107" t="s">
        <v>820</v>
      </c>
      <c r="D590" s="107"/>
      <c r="E590" s="107"/>
      <c r="F590" s="107"/>
      <c r="G590" s="107"/>
      <c r="H590" s="107"/>
      <c r="I590" s="51"/>
      <c r="J590" s="52">
        <f>J592+J593+J594+J595</f>
        <v>293980.61</v>
      </c>
      <c r="K590" s="52"/>
      <c r="L590" s="52"/>
      <c r="CQ590" s="61" t="s">
        <v>820</v>
      </c>
    </row>
    <row r="591" spans="1:95" ht="14.25">
      <c r="A591" s="53"/>
      <c r="B591" s="54"/>
      <c r="C591" s="105" t="s">
        <v>821</v>
      </c>
      <c r="D591" s="106"/>
      <c r="E591" s="106"/>
      <c r="F591" s="106"/>
      <c r="G591" s="106"/>
      <c r="H591" s="106"/>
      <c r="I591" s="55"/>
      <c r="J591" s="56"/>
      <c r="K591" s="56"/>
      <c r="L591" s="56"/>
    </row>
    <row r="592" spans="1:95" ht="14.25" hidden="1" customHeight="1">
      <c r="A592" s="53"/>
      <c r="B592" s="54"/>
      <c r="C592" s="106" t="s">
        <v>822</v>
      </c>
      <c r="D592" s="106"/>
      <c r="E592" s="106"/>
      <c r="F592" s="106"/>
      <c r="G592" s="106"/>
      <c r="H592" s="106"/>
      <c r="I592" s="55"/>
      <c r="J592" s="56">
        <f>SUM(Q567:Q588)</f>
        <v>0</v>
      </c>
      <c r="K592" s="56"/>
      <c r="L592" s="56"/>
    </row>
    <row r="593" spans="1:12" ht="14.25" hidden="1" customHeight="1">
      <c r="A593" s="53"/>
      <c r="B593" s="54"/>
      <c r="C593" s="106" t="s">
        <v>823</v>
      </c>
      <c r="D593" s="106"/>
      <c r="E593" s="106"/>
      <c r="F593" s="106"/>
      <c r="G593" s="106"/>
      <c r="H593" s="106"/>
      <c r="I593" s="55"/>
      <c r="J593" s="56">
        <f>SUM(AB567:AB588)</f>
        <v>0</v>
      </c>
      <c r="K593" s="56"/>
      <c r="L593" s="56"/>
    </row>
    <row r="594" spans="1:12" ht="14.25">
      <c r="A594" s="53"/>
      <c r="B594" s="54"/>
      <c r="C594" s="106" t="s">
        <v>824</v>
      </c>
      <c r="D594" s="106"/>
      <c r="E594" s="106"/>
      <c r="F594" s="106"/>
      <c r="G594" s="106"/>
      <c r="H594" s="106"/>
      <c r="I594" s="55"/>
      <c r="J594" s="56">
        <f>Source!F266-J599</f>
        <v>293980.61</v>
      </c>
      <c r="K594" s="56"/>
      <c r="L594" s="56"/>
    </row>
    <row r="595" spans="1:12" ht="14.25" hidden="1" customHeight="1">
      <c r="A595" s="53"/>
      <c r="B595" s="54"/>
      <c r="C595" s="106" t="s">
        <v>825</v>
      </c>
      <c r="D595" s="106"/>
      <c r="E595" s="106"/>
      <c r="F595" s="106"/>
      <c r="G595" s="106"/>
      <c r="H595" s="106"/>
      <c r="I595" s="55"/>
      <c r="J595" s="56">
        <f>Source!F288</f>
        <v>0</v>
      </c>
      <c r="K595" s="56"/>
      <c r="L595" s="56"/>
    </row>
    <row r="596" spans="1:12" ht="14.25" hidden="1" customHeight="1">
      <c r="A596" s="53"/>
      <c r="B596" s="54"/>
      <c r="C596" s="106" t="s">
        <v>826</v>
      </c>
      <c r="D596" s="106"/>
      <c r="E596" s="106"/>
      <c r="F596" s="106"/>
      <c r="G596" s="106"/>
      <c r="H596" s="106"/>
      <c r="I596" s="55"/>
      <c r="J596" s="56">
        <f>SUM(Q567:Q588)+SUM(X567:X588)</f>
        <v>0</v>
      </c>
      <c r="K596" s="56"/>
      <c r="L596" s="56"/>
    </row>
    <row r="597" spans="1:12" ht="14.25" hidden="1" customHeight="1">
      <c r="A597" s="53"/>
      <c r="B597" s="54"/>
      <c r="C597" s="106" t="s">
        <v>827</v>
      </c>
      <c r="D597" s="106"/>
      <c r="E597" s="106"/>
      <c r="F597" s="106"/>
      <c r="G597" s="106"/>
      <c r="H597" s="106"/>
      <c r="I597" s="55"/>
      <c r="J597" s="56">
        <f>Source!F289</f>
        <v>0</v>
      </c>
      <c r="K597" s="56"/>
      <c r="L597" s="56"/>
    </row>
    <row r="598" spans="1:12" ht="14.25" hidden="1" customHeight="1">
      <c r="A598" s="53"/>
      <c r="B598" s="54"/>
      <c r="C598" s="106" t="s">
        <v>828</v>
      </c>
      <c r="D598" s="106"/>
      <c r="E598" s="106"/>
      <c r="F598" s="106"/>
      <c r="G598" s="106"/>
      <c r="H598" s="106"/>
      <c r="I598" s="55"/>
      <c r="J598" s="56">
        <f>Source!F290</f>
        <v>0</v>
      </c>
      <c r="K598" s="56"/>
      <c r="L598" s="56"/>
    </row>
    <row r="599" spans="1:12" ht="14.25" hidden="1" customHeight="1">
      <c r="A599" s="53"/>
      <c r="B599" s="54"/>
      <c r="C599" s="106" t="s">
        <v>829</v>
      </c>
      <c r="D599" s="106"/>
      <c r="E599" s="106"/>
      <c r="F599" s="106"/>
      <c r="G599" s="106"/>
      <c r="H599" s="106"/>
      <c r="I599" s="55"/>
      <c r="J599" s="56">
        <f>Source!F272</f>
        <v>0</v>
      </c>
      <c r="K599" s="56"/>
      <c r="L599" s="56"/>
    </row>
    <row r="600" spans="1:12" ht="14.25" hidden="1" customHeight="1">
      <c r="A600" s="53"/>
      <c r="B600" s="54"/>
      <c r="C600" s="106" t="s">
        <v>830</v>
      </c>
      <c r="D600" s="106"/>
      <c r="E600" s="106"/>
      <c r="F600" s="106"/>
      <c r="G600" s="106"/>
      <c r="H600" s="106"/>
      <c r="I600" s="55"/>
      <c r="J600" s="56">
        <f>Source!F282</f>
        <v>0</v>
      </c>
      <c r="K600" s="56"/>
      <c r="L600" s="56"/>
    </row>
    <row r="601" spans="1:12" ht="15">
      <c r="A601" s="49"/>
      <c r="B601" s="50"/>
      <c r="C601" s="107" t="s">
        <v>831</v>
      </c>
      <c r="D601" s="107"/>
      <c r="E601" s="107"/>
      <c r="F601" s="107"/>
      <c r="G601" s="107"/>
      <c r="H601" s="107"/>
      <c r="I601" s="51"/>
      <c r="J601" s="52">
        <f>Source!F291</f>
        <v>293980.61</v>
      </c>
      <c r="K601" s="52"/>
      <c r="L601" s="52"/>
    </row>
    <row r="602" spans="1:12" ht="14.25">
      <c r="A602" s="53"/>
      <c r="B602" s="54"/>
      <c r="C602" s="105" t="s">
        <v>821</v>
      </c>
      <c r="D602" s="106"/>
      <c r="E602" s="106"/>
      <c r="F602" s="106"/>
      <c r="G602" s="106"/>
      <c r="H602" s="106"/>
      <c r="I602" s="55"/>
      <c r="J602" s="56"/>
      <c r="K602" s="56"/>
      <c r="L602" s="56"/>
    </row>
    <row r="603" spans="1:12" ht="14.25">
      <c r="A603" s="53"/>
      <c r="B603" s="54"/>
      <c r="C603" s="106" t="s">
        <v>832</v>
      </c>
      <c r="D603" s="106"/>
      <c r="E603" s="106"/>
      <c r="F603" s="106"/>
      <c r="G603" s="106"/>
      <c r="H603" s="106"/>
      <c r="I603" s="55"/>
      <c r="J603" s="56"/>
      <c r="K603" s="56"/>
      <c r="L603" s="56">
        <f>SUM(BS567:BS588)</f>
        <v>1430866.2399999998</v>
      </c>
    </row>
    <row r="604" spans="1:12" ht="14.25" hidden="1" customHeight="1">
      <c r="A604" s="53"/>
      <c r="B604" s="54"/>
      <c r="C604" s="106" t="s">
        <v>833</v>
      </c>
      <c r="D604" s="106"/>
      <c r="E604" s="106"/>
      <c r="F604" s="106"/>
      <c r="G604" s="106"/>
      <c r="H604" s="106"/>
      <c r="I604" s="55"/>
      <c r="J604" s="56"/>
      <c r="K604" s="56"/>
      <c r="L604" s="56">
        <f>SUM(BT567:BT588)</f>
        <v>0</v>
      </c>
    </row>
    <row r="605" spans="1:12" ht="14.25">
      <c r="C605" s="104" t="str">
        <f>Source!H292</f>
        <v>Итого прямые затраты</v>
      </c>
      <c r="D605" s="104"/>
      <c r="E605" s="104"/>
      <c r="F605" s="104"/>
      <c r="G605" s="104"/>
      <c r="H605" s="104"/>
      <c r="I605" s="104"/>
      <c r="J605" s="34">
        <f>IF(Source!W292=0, "", Source!W292)</f>
        <v>293981</v>
      </c>
    </row>
    <row r="606" spans="1:12" ht="14.25">
      <c r="C606" s="104" t="str">
        <f>Source!H293</f>
        <v>Накладные расходы</v>
      </c>
      <c r="D606" s="104"/>
      <c r="E606" s="104"/>
      <c r="F606" s="104"/>
      <c r="G606" s="104"/>
      <c r="H606" s="104"/>
      <c r="I606" s="104"/>
      <c r="J606" s="34" t="str">
        <f>IF(Source!W293=0, "", Source!W293)</f>
        <v/>
      </c>
    </row>
    <row r="607" spans="1:12" ht="14.25">
      <c r="C607" s="104" t="str">
        <f>Source!H294</f>
        <v>Сметная прибыль</v>
      </c>
      <c r="D607" s="104"/>
      <c r="E607" s="104"/>
      <c r="F607" s="104"/>
      <c r="G607" s="104"/>
      <c r="H607" s="104"/>
      <c r="I607" s="104"/>
      <c r="J607" s="34" t="str">
        <f>IF(Source!W294=0, "", Source!W294)</f>
        <v/>
      </c>
    </row>
    <row r="608" spans="1:12" ht="14.25">
      <c r="C608" s="104" t="str">
        <f>Source!H295</f>
        <v>Итого</v>
      </c>
      <c r="D608" s="104"/>
      <c r="E608" s="104"/>
      <c r="F608" s="104"/>
      <c r="G608" s="104"/>
      <c r="H608" s="104"/>
      <c r="I608" s="104"/>
      <c r="J608" s="35">
        <f>IF(Source!W295=0, "", Source!W295)</f>
        <v>293981</v>
      </c>
    </row>
    <row r="609" spans="1:79" ht="14.25">
      <c r="C609" s="104" t="str">
        <f>Source!H296</f>
        <v>В том числе общестроительные работы</v>
      </c>
      <c r="D609" s="104"/>
      <c r="E609" s="104"/>
      <c r="F609" s="104"/>
      <c r="G609" s="104"/>
      <c r="H609" s="104"/>
      <c r="I609" s="104"/>
      <c r="J609" s="35">
        <f>IF(Source!W296=0, "", Source!W296)</f>
        <v>3660</v>
      </c>
    </row>
    <row r="610" spans="1:79" ht="14.25">
      <c r="C610" s="104" t="str">
        <f>Source!H297</f>
        <v>В том числе монтажные работы</v>
      </c>
      <c r="D610" s="104"/>
      <c r="E610" s="104"/>
      <c r="F610" s="104"/>
      <c r="G610" s="104"/>
      <c r="H610" s="104"/>
      <c r="I610" s="104"/>
      <c r="J610" s="35">
        <f>IF(Source!W297=0, "", Source!W297)</f>
        <v>290320.61</v>
      </c>
    </row>
    <row r="612" spans="1:79" ht="16.5">
      <c r="A612" s="109" t="s">
        <v>875</v>
      </c>
      <c r="B612" s="109"/>
      <c r="C612" s="109"/>
      <c r="D612" s="109"/>
      <c r="E612" s="109"/>
      <c r="F612" s="109"/>
      <c r="G612" s="109"/>
      <c r="H612" s="109"/>
      <c r="I612" s="109"/>
      <c r="J612" s="109"/>
      <c r="K612" s="109"/>
      <c r="L612" s="109"/>
    </row>
    <row r="613" spans="1:79" ht="81">
      <c r="A613" s="57">
        <v>48</v>
      </c>
      <c r="B613" s="57" t="str">
        <f>Source!F306</f>
        <v>п01-11-024-1</v>
      </c>
      <c r="C613" s="57" t="s">
        <v>876</v>
      </c>
      <c r="D613" s="42" t="str">
        <f>Source!H306</f>
        <v>1 фазировка</v>
      </c>
      <c r="E613" s="38">
        <f>Source!K306</f>
        <v>8</v>
      </c>
      <c r="F613" s="38"/>
      <c r="G613" s="38">
        <f>Source!I306</f>
        <v>8</v>
      </c>
      <c r="H613" s="35"/>
      <c r="I613" s="43"/>
      <c r="J613" s="35"/>
      <c r="K613" s="43"/>
      <c r="L613" s="35"/>
      <c r="AG613">
        <f>Source!X306</f>
        <v>72.52</v>
      </c>
      <c r="AH613">
        <f>Source!HK306</f>
        <v>2098</v>
      </c>
      <c r="AI613">
        <f>Source!Y306</f>
        <v>35.28</v>
      </c>
      <c r="AJ613">
        <f>Source!HL306</f>
        <v>1020.65</v>
      </c>
      <c r="AS613">
        <f>IF(Source!BI306&lt;=1,AH613, 0)</f>
        <v>0</v>
      </c>
      <c r="AT613">
        <f>IF(Source!BI306&lt;=1,AJ613, 0)</f>
        <v>0</v>
      </c>
      <c r="BC613">
        <f>IF(Source!BI306=2,AH613, 0)</f>
        <v>0</v>
      </c>
      <c r="BD613">
        <f>IF(Source!BI306=2,AJ613, 0)</f>
        <v>0</v>
      </c>
    </row>
    <row r="615" spans="1:79" ht="14.25">
      <c r="A615" s="57"/>
      <c r="B615" s="58">
        <v>1</v>
      </c>
      <c r="C615" s="57" t="s">
        <v>794</v>
      </c>
      <c r="D615" s="42"/>
      <c r="E615" s="38"/>
      <c r="F615" s="38"/>
      <c r="G615" s="38"/>
      <c r="H615" s="35">
        <f>Source!AO306</f>
        <v>10.210000000000001</v>
      </c>
      <c r="I615" s="43">
        <f>ROUND(1.2,7)</f>
        <v>1.2</v>
      </c>
      <c r="J615" s="35">
        <f>ROUND(Source!AF306*Source!I306, 2)</f>
        <v>98</v>
      </c>
      <c r="K615" s="43">
        <f>IF(Source!BA306&lt;&gt; 0, Source!BA306, 1)</f>
        <v>28.93</v>
      </c>
      <c r="L615" s="35">
        <f>Source!HJ306</f>
        <v>2835.14</v>
      </c>
      <c r="BU615">
        <f>Source!HJ306</f>
        <v>2835.14</v>
      </c>
      <c r="BX615">
        <f>ROUND(Source!HJ306*80/100, 2)</f>
        <v>2268.11</v>
      </c>
      <c r="BY615">
        <f>Source!HJ306-BX615</f>
        <v>567.02999999999975</v>
      </c>
      <c r="BZ615">
        <f>Source!BM306</f>
        <v>200001</v>
      </c>
    </row>
    <row r="616" spans="1:79" ht="14.25">
      <c r="A616" s="57"/>
      <c r="B616" s="57"/>
      <c r="C616" s="59" t="s">
        <v>795</v>
      </c>
      <c r="D616" s="44" t="s">
        <v>796</v>
      </c>
      <c r="E616" s="45">
        <f>Source!AQ306</f>
        <v>0.82</v>
      </c>
      <c r="F616" s="45">
        <f>ROUND(1.2,7)</f>
        <v>1.2</v>
      </c>
      <c r="G616" s="45">
        <f>ROUND(Source!U306, 7)</f>
        <v>7.8719999999999999</v>
      </c>
      <c r="H616" s="46"/>
      <c r="I616" s="47"/>
      <c r="J616" s="46"/>
      <c r="K616" s="47"/>
      <c r="L616" s="46"/>
    </row>
    <row r="617" spans="1:79" ht="14.25">
      <c r="A617" s="57"/>
      <c r="B617" s="57"/>
      <c r="C617" s="57" t="s">
        <v>797</v>
      </c>
      <c r="D617" s="42"/>
      <c r="E617" s="38"/>
      <c r="F617" s="38"/>
      <c r="G617" s="38"/>
      <c r="H617" s="35">
        <f>H615</f>
        <v>10.210000000000001</v>
      </c>
      <c r="I617" s="43"/>
      <c r="J617" s="35">
        <f>J615</f>
        <v>98</v>
      </c>
      <c r="K617" s="43"/>
      <c r="L617" s="35"/>
    </row>
    <row r="618" spans="1:79" ht="14.25">
      <c r="A618" s="57"/>
      <c r="B618" s="57"/>
      <c r="C618" s="57" t="s">
        <v>798</v>
      </c>
      <c r="D618" s="42"/>
      <c r="E618" s="38"/>
      <c r="F618" s="38"/>
      <c r="G618" s="38"/>
      <c r="H618" s="35"/>
      <c r="I618" s="43"/>
      <c r="J618" s="35">
        <f>SUM(Q613:Q621)+SUM(V613:V621)+SUM(X613:X621)+SUM(Y613:Y621)</f>
        <v>98</v>
      </c>
      <c r="K618" s="43"/>
      <c r="L618" s="35">
        <f>SUM(U613:U621)+SUM(W613:W621)+SUM(Z613:Z621)+SUM(AA613:AA621)</f>
        <v>2835.14</v>
      </c>
    </row>
    <row r="619" spans="1:79" ht="14.25">
      <c r="A619" s="57"/>
      <c r="B619" s="57" t="s">
        <v>392</v>
      </c>
      <c r="C619" s="57" t="s">
        <v>877</v>
      </c>
      <c r="D619" s="42" t="s">
        <v>800</v>
      </c>
      <c r="E619" s="38">
        <f>Source!BZ306</f>
        <v>74</v>
      </c>
      <c r="F619" s="38"/>
      <c r="G619" s="38">
        <f>Source!AT306</f>
        <v>74</v>
      </c>
      <c r="H619" s="35"/>
      <c r="I619" s="43"/>
      <c r="J619" s="35">
        <f>SUM(AG613:AG621)</f>
        <v>72.52</v>
      </c>
      <c r="K619" s="43"/>
      <c r="L619" s="35">
        <f>SUM(AH613:AH621)</f>
        <v>2098</v>
      </c>
      <c r="BU619">
        <f>SUM(AH613:AH621)</f>
        <v>2098</v>
      </c>
      <c r="BX619">
        <f>ROUND(SUM(AH613:AH621)*80/100, 2)</f>
        <v>1678.4</v>
      </c>
      <c r="BY619">
        <f>SUM(AH613:AH621)-BX619</f>
        <v>419.59999999999991</v>
      </c>
      <c r="BZ619">
        <f>Source!BM306</f>
        <v>200001</v>
      </c>
    </row>
    <row r="620" spans="1:79" ht="14.25">
      <c r="A620" s="59"/>
      <c r="B620" s="59" t="s">
        <v>393</v>
      </c>
      <c r="C620" s="59" t="s">
        <v>878</v>
      </c>
      <c r="D620" s="44" t="s">
        <v>800</v>
      </c>
      <c r="E620" s="45">
        <f>Source!CA306</f>
        <v>36</v>
      </c>
      <c r="F620" s="45"/>
      <c r="G620" s="45">
        <f>Source!AU306</f>
        <v>36</v>
      </c>
      <c r="H620" s="46"/>
      <c r="I620" s="47"/>
      <c r="J620" s="46">
        <f>SUM(AI613:AI621)</f>
        <v>35.28</v>
      </c>
      <c r="K620" s="47"/>
      <c r="L620" s="46">
        <f>SUM(AJ613:AJ621)</f>
        <v>1020.65</v>
      </c>
      <c r="BU620">
        <f>SUM(AJ613:AJ621)</f>
        <v>1020.65</v>
      </c>
      <c r="BX620">
        <f>ROUND(SUM(AJ613:AJ621)*80/100, 2)</f>
        <v>816.52</v>
      </c>
      <c r="BY620">
        <f>SUM(AJ613:AJ621)-BX620</f>
        <v>204.13</v>
      </c>
      <c r="BZ620">
        <f>Source!BM306</f>
        <v>200001</v>
      </c>
    </row>
    <row r="621" spans="1:79" ht="15">
      <c r="C621" s="108" t="s">
        <v>802</v>
      </c>
      <c r="D621" s="108"/>
      <c r="E621" s="108"/>
      <c r="F621" s="108"/>
      <c r="G621" s="108"/>
      <c r="H621" s="108"/>
      <c r="I621" s="108">
        <f>J615+J619+J620</f>
        <v>205.79999999999998</v>
      </c>
      <c r="J621" s="108"/>
      <c r="O621" s="33">
        <f>I621</f>
        <v>205.79999999999998</v>
      </c>
      <c r="P621">
        <f>K621</f>
        <v>0</v>
      </c>
      <c r="Q621" s="33">
        <f>J615</f>
        <v>98</v>
      </c>
      <c r="S621" s="33">
        <f>J615</f>
        <v>98</v>
      </c>
      <c r="U621" s="33">
        <f>L615</f>
        <v>2835.14</v>
      </c>
      <c r="X621">
        <f>0</f>
        <v>0</v>
      </c>
      <c r="Z621">
        <f>0</f>
        <v>0</v>
      </c>
      <c r="AB621">
        <f>0</f>
        <v>0</v>
      </c>
      <c r="AD621">
        <f>0</f>
        <v>0</v>
      </c>
      <c r="AF621">
        <f>0</f>
        <v>0</v>
      </c>
      <c r="AN621">
        <f>IF(Source!BI306&lt;=1,J615+J619+J620, 0)</f>
        <v>0</v>
      </c>
      <c r="AO621">
        <f>IF(Source!BI306&lt;=1,0, 0)</f>
        <v>0</v>
      </c>
      <c r="AP621">
        <f>IF(Source!BI306&lt;=1,0, 0)</f>
        <v>0</v>
      </c>
      <c r="AQ621">
        <f>IF(Source!BI306&lt;=1,J615, 0)</f>
        <v>0</v>
      </c>
      <c r="AX621">
        <f>IF(Source!BI306=2,J615+J619+J620, 0)</f>
        <v>0</v>
      </c>
      <c r="AY621">
        <f>IF(Source!BI306=2,0, 0)</f>
        <v>0</v>
      </c>
      <c r="AZ621">
        <f>IF(Source!BI306=2,0, 0)</f>
        <v>0</v>
      </c>
      <c r="BA621">
        <f>IF(Source!BI306=2,J615, 0)</f>
        <v>0</v>
      </c>
      <c r="BN621">
        <f>IF(Source!BI306=4,J615+J619+J620, 0)</f>
        <v>205.79999999999998</v>
      </c>
      <c r="BV621">
        <f>ROUND(O621*80/100, 2)</f>
        <v>164.64</v>
      </c>
      <c r="BW621" s="33">
        <f>O621-BV621</f>
        <v>41.16</v>
      </c>
      <c r="BZ621">
        <f>Source!BM306</f>
        <v>200001</v>
      </c>
      <c r="CA621" t="str">
        <f>Source!E306</f>
        <v>48</v>
      </c>
    </row>
    <row r="622" spans="1:79" ht="152.25">
      <c r="A622" s="57">
        <v>49</v>
      </c>
      <c r="B622" s="57" t="str">
        <f>Source!F307</f>
        <v>п01-11-028-1</v>
      </c>
      <c r="C622" s="57" t="s">
        <v>879</v>
      </c>
      <c r="D622" s="42" t="str">
        <f>Source!H307</f>
        <v>1 линия</v>
      </c>
      <c r="E622" s="38">
        <f>Source!K307</f>
        <v>2</v>
      </c>
      <c r="F622" s="38"/>
      <c r="G622" s="38">
        <f>Source!I307</f>
        <v>2</v>
      </c>
      <c r="H622" s="35"/>
      <c r="I622" s="43"/>
      <c r="J622" s="35"/>
      <c r="K622" s="43"/>
      <c r="L622" s="35"/>
      <c r="AG622">
        <f>Source!X307</f>
        <v>7.07</v>
      </c>
      <c r="AH622">
        <f>Source!HK307</f>
        <v>204.66</v>
      </c>
      <c r="AI622">
        <f>Source!Y307</f>
        <v>3.44</v>
      </c>
      <c r="AJ622">
        <f>Source!HL307</f>
        <v>99.57</v>
      </c>
      <c r="AS622">
        <f>IF(Source!BI307&lt;=1,AH622, 0)</f>
        <v>0</v>
      </c>
      <c r="AT622">
        <f>IF(Source!BI307&lt;=1,AJ622, 0)</f>
        <v>0</v>
      </c>
      <c r="BC622">
        <f>IF(Source!BI307=2,AH622, 0)</f>
        <v>0</v>
      </c>
      <c r="BD622">
        <f>IF(Source!BI307=2,AJ622, 0)</f>
        <v>0</v>
      </c>
    </row>
    <row r="624" spans="1:79" ht="14.25">
      <c r="A624" s="57"/>
      <c r="B624" s="58">
        <v>1</v>
      </c>
      <c r="C624" s="57" t="s">
        <v>794</v>
      </c>
      <c r="D624" s="42"/>
      <c r="E624" s="38"/>
      <c r="F624" s="38"/>
      <c r="G624" s="38"/>
      <c r="H624" s="35">
        <f>Source!AO307</f>
        <v>3.98</v>
      </c>
      <c r="I624" s="43">
        <f>ROUND(1.2,7)</f>
        <v>1.2</v>
      </c>
      <c r="J624" s="35">
        <f>ROUND(Source!AF307*Source!I307, 2)</f>
        <v>9.56</v>
      </c>
      <c r="K624" s="43">
        <f>IF(Source!BA307&lt;&gt; 0, Source!BA307, 1)</f>
        <v>28.93</v>
      </c>
      <c r="L624" s="35">
        <f>Source!HJ307</f>
        <v>276.57</v>
      </c>
      <c r="BU624">
        <f>Source!HJ307</f>
        <v>276.57</v>
      </c>
      <c r="BX624">
        <f>ROUND(Source!HJ307*80/100, 2)</f>
        <v>221.26</v>
      </c>
      <c r="BY624">
        <f>Source!HJ307-BX624</f>
        <v>55.31</v>
      </c>
      <c r="BZ624">
        <f>Source!BM307</f>
        <v>200001</v>
      </c>
    </row>
    <row r="625" spans="1:95" ht="14.25">
      <c r="A625" s="57"/>
      <c r="B625" s="57"/>
      <c r="C625" s="59" t="s">
        <v>795</v>
      </c>
      <c r="D625" s="44" t="s">
        <v>796</v>
      </c>
      <c r="E625" s="45">
        <f>Source!AQ307</f>
        <v>0.32</v>
      </c>
      <c r="F625" s="45">
        <f>ROUND(1.2,7)</f>
        <v>1.2</v>
      </c>
      <c r="G625" s="45">
        <f>ROUND(Source!U307, 7)</f>
        <v>0.76800000000000002</v>
      </c>
      <c r="H625" s="46"/>
      <c r="I625" s="47"/>
      <c r="J625" s="46"/>
      <c r="K625" s="47"/>
      <c r="L625" s="46"/>
    </row>
    <row r="626" spans="1:95" ht="14.25">
      <c r="A626" s="57"/>
      <c r="B626" s="57"/>
      <c r="C626" s="57" t="s">
        <v>797</v>
      </c>
      <c r="D626" s="42"/>
      <c r="E626" s="38"/>
      <c r="F626" s="38"/>
      <c r="G626" s="38"/>
      <c r="H626" s="35">
        <f>H624</f>
        <v>3.98</v>
      </c>
      <c r="I626" s="43"/>
      <c r="J626" s="35">
        <f>J624</f>
        <v>9.56</v>
      </c>
      <c r="K626" s="43"/>
      <c r="L626" s="35"/>
    </row>
    <row r="627" spans="1:95" ht="14.25">
      <c r="A627" s="57"/>
      <c r="B627" s="57"/>
      <c r="C627" s="57" t="s">
        <v>798</v>
      </c>
      <c r="D627" s="42"/>
      <c r="E627" s="38"/>
      <c r="F627" s="38"/>
      <c r="G627" s="38"/>
      <c r="H627" s="35"/>
      <c r="I627" s="43"/>
      <c r="J627" s="35">
        <f>SUM(Q622:Q630)+SUM(V622:V630)+SUM(X622:X630)+SUM(Y622:Y630)</f>
        <v>9.56</v>
      </c>
      <c r="K627" s="43"/>
      <c r="L627" s="35">
        <f>SUM(U622:U630)+SUM(W622:W630)+SUM(Z622:Z630)+SUM(AA622:AA630)</f>
        <v>276.57</v>
      </c>
    </row>
    <row r="628" spans="1:95" ht="14.25">
      <c r="A628" s="57"/>
      <c r="B628" s="57" t="s">
        <v>392</v>
      </c>
      <c r="C628" s="57" t="s">
        <v>877</v>
      </c>
      <c r="D628" s="42" t="s">
        <v>800</v>
      </c>
      <c r="E628" s="38">
        <f>Source!BZ307</f>
        <v>74</v>
      </c>
      <c r="F628" s="38"/>
      <c r="G628" s="38">
        <f>Source!AT307</f>
        <v>74</v>
      </c>
      <c r="H628" s="35"/>
      <c r="I628" s="43"/>
      <c r="J628" s="35">
        <f>SUM(AG622:AG630)</f>
        <v>7.07</v>
      </c>
      <c r="K628" s="43"/>
      <c r="L628" s="35">
        <f>SUM(AH622:AH630)</f>
        <v>204.66</v>
      </c>
      <c r="BU628">
        <f>SUM(AH622:AH630)</f>
        <v>204.66</v>
      </c>
      <c r="BX628">
        <f>ROUND(SUM(AH622:AH630)*80/100, 2)</f>
        <v>163.72999999999999</v>
      </c>
      <c r="BY628">
        <f>SUM(AH622:AH630)-BX628</f>
        <v>40.930000000000007</v>
      </c>
      <c r="BZ628">
        <f>Source!BM307</f>
        <v>200001</v>
      </c>
    </row>
    <row r="629" spans="1:95" ht="14.25">
      <c r="A629" s="59"/>
      <c r="B629" s="59" t="s">
        <v>393</v>
      </c>
      <c r="C629" s="59" t="s">
        <v>878</v>
      </c>
      <c r="D629" s="44" t="s">
        <v>800</v>
      </c>
      <c r="E629" s="45">
        <f>Source!CA307</f>
        <v>36</v>
      </c>
      <c r="F629" s="45"/>
      <c r="G629" s="45">
        <f>Source!AU307</f>
        <v>36</v>
      </c>
      <c r="H629" s="46"/>
      <c r="I629" s="47"/>
      <c r="J629" s="46">
        <f>SUM(AI622:AI630)</f>
        <v>3.44</v>
      </c>
      <c r="K629" s="47"/>
      <c r="L629" s="46">
        <f>SUM(AJ622:AJ630)</f>
        <v>99.57</v>
      </c>
      <c r="BU629">
        <f>SUM(AJ622:AJ630)</f>
        <v>99.57</v>
      </c>
      <c r="BX629">
        <f>ROUND(SUM(AJ622:AJ630)*80/100, 2)</f>
        <v>79.66</v>
      </c>
      <c r="BY629">
        <f>SUM(AJ622:AJ630)-BX629</f>
        <v>19.909999999999997</v>
      </c>
      <c r="BZ629">
        <f>Source!BM307</f>
        <v>200001</v>
      </c>
    </row>
    <row r="630" spans="1:95" ht="15">
      <c r="C630" s="108" t="s">
        <v>802</v>
      </c>
      <c r="D630" s="108"/>
      <c r="E630" s="108"/>
      <c r="F630" s="108"/>
      <c r="G630" s="108"/>
      <c r="H630" s="108"/>
      <c r="I630" s="108">
        <f>J624+J628+J629</f>
        <v>20.070000000000004</v>
      </c>
      <c r="J630" s="108"/>
      <c r="O630" s="33">
        <f>I630</f>
        <v>20.070000000000004</v>
      </c>
      <c r="P630">
        <f>K630</f>
        <v>0</v>
      </c>
      <c r="Q630" s="33">
        <f>J624</f>
        <v>9.56</v>
      </c>
      <c r="S630" s="33">
        <f>J624</f>
        <v>9.56</v>
      </c>
      <c r="U630" s="33">
        <f>L624</f>
        <v>276.57</v>
      </c>
      <c r="X630">
        <f>0</f>
        <v>0</v>
      </c>
      <c r="Z630">
        <f>0</f>
        <v>0</v>
      </c>
      <c r="AB630">
        <f>0</f>
        <v>0</v>
      </c>
      <c r="AD630">
        <f>0</f>
        <v>0</v>
      </c>
      <c r="AF630">
        <f>0</f>
        <v>0</v>
      </c>
      <c r="AN630">
        <f>IF(Source!BI307&lt;=1,J624+J628+J629, 0)</f>
        <v>0</v>
      </c>
      <c r="AO630">
        <f>IF(Source!BI307&lt;=1,0, 0)</f>
        <v>0</v>
      </c>
      <c r="AP630">
        <f>IF(Source!BI307&lt;=1,0, 0)</f>
        <v>0</v>
      </c>
      <c r="AQ630">
        <f>IF(Source!BI307&lt;=1,J624, 0)</f>
        <v>0</v>
      </c>
      <c r="AX630">
        <f>IF(Source!BI307=2,J624+J628+J629, 0)</f>
        <v>0</v>
      </c>
      <c r="AY630">
        <f>IF(Source!BI307=2,0, 0)</f>
        <v>0</v>
      </c>
      <c r="AZ630">
        <f>IF(Source!BI307=2,0, 0)</f>
        <v>0</v>
      </c>
      <c r="BA630">
        <f>IF(Source!BI307=2,J624, 0)</f>
        <v>0</v>
      </c>
      <c r="BN630">
        <f>IF(Source!BI307=4,J624+J628+J629, 0)</f>
        <v>20.070000000000004</v>
      </c>
      <c r="BV630">
        <f>ROUND(O630*80/100, 2)</f>
        <v>16.059999999999999</v>
      </c>
      <c r="BW630" s="33">
        <f>O630-BV630</f>
        <v>4.0100000000000051</v>
      </c>
      <c r="BZ630">
        <f>Source!BM307</f>
        <v>200001</v>
      </c>
      <c r="CA630" t="str">
        <f>Source!E307</f>
        <v>49</v>
      </c>
    </row>
    <row r="632" spans="1:95" ht="15">
      <c r="A632" s="49"/>
      <c r="B632" s="50"/>
      <c r="C632" s="107" t="s">
        <v>820</v>
      </c>
      <c r="D632" s="107"/>
      <c r="E632" s="107"/>
      <c r="F632" s="107"/>
      <c r="G632" s="107"/>
      <c r="H632" s="107"/>
      <c r="I632" s="51"/>
      <c r="J632" s="52">
        <f>J634+J635+J636+J637</f>
        <v>107.56</v>
      </c>
      <c r="K632" s="52"/>
      <c r="L632" s="52"/>
      <c r="CQ632" s="61" t="s">
        <v>820</v>
      </c>
    </row>
    <row r="633" spans="1:95" ht="14.25">
      <c r="A633" s="53"/>
      <c r="B633" s="54"/>
      <c r="C633" s="105" t="s">
        <v>821</v>
      </c>
      <c r="D633" s="106"/>
      <c r="E633" s="106"/>
      <c r="F633" s="106"/>
      <c r="G633" s="106"/>
      <c r="H633" s="106"/>
      <c r="I633" s="55"/>
      <c r="J633" s="56"/>
      <c r="K633" s="56"/>
      <c r="L633" s="56"/>
    </row>
    <row r="634" spans="1:95" ht="14.25">
      <c r="A634" s="53"/>
      <c r="B634" s="54"/>
      <c r="C634" s="106" t="s">
        <v>822</v>
      </c>
      <c r="D634" s="106"/>
      <c r="E634" s="106"/>
      <c r="F634" s="106"/>
      <c r="G634" s="106"/>
      <c r="H634" s="106"/>
      <c r="I634" s="55"/>
      <c r="J634" s="56">
        <f>SUM(Q612:Q630)</f>
        <v>107.56</v>
      </c>
      <c r="K634" s="56"/>
      <c r="L634" s="56"/>
    </row>
    <row r="635" spans="1:95" ht="14.25" hidden="1" customHeight="1">
      <c r="A635" s="53"/>
      <c r="B635" s="54"/>
      <c r="C635" s="106" t="s">
        <v>823</v>
      </c>
      <c r="D635" s="106"/>
      <c r="E635" s="106"/>
      <c r="F635" s="106"/>
      <c r="G635" s="106"/>
      <c r="H635" s="106"/>
      <c r="I635" s="55"/>
      <c r="J635" s="56">
        <f>SUM(AB612:AB630)</f>
        <v>0</v>
      </c>
      <c r="K635" s="56"/>
      <c r="L635" s="56"/>
    </row>
    <row r="636" spans="1:95" ht="14.25" hidden="1" customHeight="1">
      <c r="A636" s="53"/>
      <c r="B636" s="54"/>
      <c r="C636" s="106" t="s">
        <v>824</v>
      </c>
      <c r="D636" s="106"/>
      <c r="E636" s="106"/>
      <c r="F636" s="106"/>
      <c r="G636" s="106"/>
      <c r="H636" s="106"/>
      <c r="I636" s="55"/>
      <c r="J636" s="56">
        <f>Source!F312-J641</f>
        <v>0</v>
      </c>
      <c r="K636" s="56"/>
      <c r="L636" s="56"/>
    </row>
    <row r="637" spans="1:95" ht="14.25" hidden="1" customHeight="1">
      <c r="A637" s="53"/>
      <c r="B637" s="54"/>
      <c r="C637" s="106" t="s">
        <v>825</v>
      </c>
      <c r="D637" s="106"/>
      <c r="E637" s="106"/>
      <c r="F637" s="106"/>
      <c r="G637" s="106"/>
      <c r="H637" s="106"/>
      <c r="I637" s="55"/>
      <c r="J637" s="56">
        <f>Source!F334</f>
        <v>0</v>
      </c>
      <c r="K637" s="56"/>
      <c r="L637" s="56"/>
    </row>
    <row r="638" spans="1:95" ht="14.25">
      <c r="A638" s="53"/>
      <c r="B638" s="54"/>
      <c r="C638" s="106" t="s">
        <v>826</v>
      </c>
      <c r="D638" s="106"/>
      <c r="E638" s="106"/>
      <c r="F638" s="106"/>
      <c r="G638" s="106"/>
      <c r="H638" s="106"/>
      <c r="I638" s="55"/>
      <c r="J638" s="56">
        <f>SUM(Q612:Q630)+SUM(X612:X630)</f>
        <v>107.56</v>
      </c>
      <c r="K638" s="56"/>
      <c r="L638" s="56"/>
    </row>
    <row r="639" spans="1:95" ht="14.25">
      <c r="A639" s="53"/>
      <c r="B639" s="54"/>
      <c r="C639" s="106" t="s">
        <v>827</v>
      </c>
      <c r="D639" s="106"/>
      <c r="E639" s="106"/>
      <c r="F639" s="106"/>
      <c r="G639" s="106"/>
      <c r="H639" s="106"/>
      <c r="I639" s="55"/>
      <c r="J639" s="56">
        <f>Source!F335</f>
        <v>79.59</v>
      </c>
      <c r="K639" s="56"/>
      <c r="L639" s="56"/>
    </row>
    <row r="640" spans="1:95" ht="14.25">
      <c r="A640" s="53"/>
      <c r="B640" s="54"/>
      <c r="C640" s="106" t="s">
        <v>828</v>
      </c>
      <c r="D640" s="106"/>
      <c r="E640" s="106"/>
      <c r="F640" s="106"/>
      <c r="G640" s="106"/>
      <c r="H640" s="106"/>
      <c r="I640" s="55"/>
      <c r="J640" s="56">
        <f>Source!F336</f>
        <v>38.72</v>
      </c>
      <c r="K640" s="56"/>
      <c r="L640" s="56"/>
    </row>
    <row r="641" spans="1:12" ht="14.25" hidden="1" customHeight="1">
      <c r="A641" s="53"/>
      <c r="B641" s="54"/>
      <c r="C641" s="106" t="s">
        <v>829</v>
      </c>
      <c r="D641" s="106"/>
      <c r="E641" s="106"/>
      <c r="F641" s="106"/>
      <c r="G641" s="106"/>
      <c r="H641" s="106"/>
      <c r="I641" s="55"/>
      <c r="J641" s="56">
        <f>Source!F318</f>
        <v>0</v>
      </c>
      <c r="K641" s="56"/>
      <c r="L641" s="56"/>
    </row>
    <row r="642" spans="1:12" ht="14.25">
      <c r="A642" s="53"/>
      <c r="B642" s="54"/>
      <c r="C642" s="106" t="s">
        <v>830</v>
      </c>
      <c r="D642" s="106"/>
      <c r="E642" s="106"/>
      <c r="F642" s="106"/>
      <c r="G642" s="106"/>
      <c r="H642" s="106"/>
      <c r="I642" s="55"/>
      <c r="J642" s="56">
        <f>Source!F328</f>
        <v>225.87</v>
      </c>
      <c r="K642" s="56"/>
      <c r="L642" s="56"/>
    </row>
    <row r="643" spans="1:12" ht="15">
      <c r="A643" s="49"/>
      <c r="B643" s="50"/>
      <c r="C643" s="107" t="s">
        <v>831</v>
      </c>
      <c r="D643" s="107"/>
      <c r="E643" s="107"/>
      <c r="F643" s="107"/>
      <c r="G643" s="107"/>
      <c r="H643" s="107"/>
      <c r="I643" s="51"/>
      <c r="J643" s="52">
        <f>Source!F337</f>
        <v>225.87</v>
      </c>
      <c r="K643" s="52"/>
      <c r="L643" s="52"/>
    </row>
    <row r="644" spans="1:12" ht="14.25" hidden="1" customHeight="1">
      <c r="A644" s="53"/>
      <c r="B644" s="54"/>
      <c r="C644" s="105" t="s">
        <v>821</v>
      </c>
      <c r="D644" s="106"/>
      <c r="E644" s="106"/>
      <c r="F644" s="106"/>
      <c r="G644" s="106"/>
      <c r="H644" s="106"/>
      <c r="I644" s="55"/>
      <c r="J644" s="56"/>
      <c r="K644" s="56"/>
      <c r="L644" s="56"/>
    </row>
    <row r="645" spans="1:12" ht="14.25" hidden="1" customHeight="1">
      <c r="A645" s="53"/>
      <c r="B645" s="54"/>
      <c r="C645" s="106" t="s">
        <v>832</v>
      </c>
      <c r="D645" s="106"/>
      <c r="E645" s="106"/>
      <c r="F645" s="106"/>
      <c r="G645" s="106"/>
      <c r="H645" s="106"/>
      <c r="I645" s="55"/>
      <c r="J645" s="56"/>
      <c r="K645" s="56"/>
      <c r="L645" s="56">
        <f>SUM(BS612:BS630)</f>
        <v>0</v>
      </c>
    </row>
    <row r="646" spans="1:12" ht="14.25" hidden="1" customHeight="1">
      <c r="A646" s="53"/>
      <c r="B646" s="54"/>
      <c r="C646" s="106" t="s">
        <v>833</v>
      </c>
      <c r="D646" s="106"/>
      <c r="E646" s="106"/>
      <c r="F646" s="106"/>
      <c r="G646" s="106"/>
      <c r="H646" s="106"/>
      <c r="I646" s="55"/>
      <c r="J646" s="56"/>
      <c r="K646" s="56"/>
      <c r="L646" s="56">
        <f>SUM(BT612:BT630)</f>
        <v>0</v>
      </c>
    </row>
    <row r="647" spans="1:12" ht="14.25">
      <c r="C647" s="104" t="str">
        <f>Source!H338</f>
        <v>Итого прямые затраты</v>
      </c>
      <c r="D647" s="104"/>
      <c r="E647" s="104"/>
      <c r="F647" s="104"/>
      <c r="G647" s="104"/>
      <c r="H647" s="104"/>
      <c r="I647" s="104"/>
      <c r="J647" s="34">
        <f>IF(Source!W338=0, "", Source!W338)</f>
        <v>108</v>
      </c>
    </row>
    <row r="648" spans="1:12" ht="14.25">
      <c r="C648" s="104" t="str">
        <f>Source!H339</f>
        <v>Накладные расходы</v>
      </c>
      <c r="D648" s="104"/>
      <c r="E648" s="104"/>
      <c r="F648" s="104"/>
      <c r="G648" s="104"/>
      <c r="H648" s="104"/>
      <c r="I648" s="104"/>
      <c r="J648" s="34">
        <f>IF(Source!W339=0, "", Source!W339)</f>
        <v>80</v>
      </c>
    </row>
    <row r="649" spans="1:12" ht="14.25">
      <c r="C649" s="104" t="str">
        <f>Source!H340</f>
        <v>Сметная прибыль</v>
      </c>
      <c r="D649" s="104"/>
      <c r="E649" s="104"/>
      <c r="F649" s="104"/>
      <c r="G649" s="104"/>
      <c r="H649" s="104"/>
      <c r="I649" s="104"/>
      <c r="J649" s="34">
        <f>IF(Source!W340=0, "", Source!W340)</f>
        <v>39</v>
      </c>
    </row>
    <row r="650" spans="1:12" ht="14.25">
      <c r="C650" s="104" t="str">
        <f>Source!H341</f>
        <v>Итого</v>
      </c>
      <c r="D650" s="104"/>
      <c r="E650" s="104"/>
      <c r="F650" s="104"/>
      <c r="G650" s="104"/>
      <c r="H650" s="104"/>
      <c r="I650" s="104"/>
      <c r="J650" s="35">
        <f>IF(Source!W341=0, "", Source!W341)</f>
        <v>227</v>
      </c>
    </row>
    <row r="651" spans="1:12" ht="14.25">
      <c r="C651" s="104" t="str">
        <f>Source!H345</f>
        <v>В том числе прочие работы</v>
      </c>
      <c r="D651" s="104"/>
      <c r="E651" s="104"/>
      <c r="F651" s="104"/>
      <c r="G651" s="104"/>
      <c r="H651" s="104"/>
      <c r="I651" s="104"/>
      <c r="J651" s="35">
        <f>IF(Source!W345=0, "", Source!W345)</f>
        <v>225.87</v>
      </c>
    </row>
    <row r="652" spans="1:12" s="67" customFormat="1" ht="15"/>
    <row r="653" spans="1:12" s="67" customFormat="1" ht="15.75">
      <c r="A653" s="68"/>
      <c r="B653" s="69"/>
      <c r="C653" s="112" t="s">
        <v>880</v>
      </c>
      <c r="D653" s="112"/>
      <c r="E653" s="112"/>
      <c r="F653" s="112"/>
      <c r="G653" s="112"/>
      <c r="H653" s="112"/>
      <c r="I653" s="70"/>
      <c r="J653" s="71"/>
      <c r="K653" s="71"/>
      <c r="L653" s="71"/>
    </row>
    <row r="654" spans="1:12" s="67" customFormat="1" ht="15.75">
      <c r="A654" s="68"/>
      <c r="B654" s="69"/>
      <c r="C654" s="112" t="s">
        <v>881</v>
      </c>
      <c r="D654" s="112"/>
      <c r="E654" s="112"/>
      <c r="F654" s="112"/>
      <c r="G654" s="112"/>
      <c r="H654" s="112"/>
      <c r="I654" s="70"/>
      <c r="J654" s="71">
        <f>J656+J657+J658+J659</f>
        <v>404832.04</v>
      </c>
      <c r="K654" s="71"/>
      <c r="L654" s="71">
        <f>L656+L657+L658+L659</f>
        <v>2403967.39</v>
      </c>
    </row>
    <row r="655" spans="1:12" s="67" customFormat="1" ht="15">
      <c r="A655" s="72"/>
      <c r="B655" s="73"/>
      <c r="C655" s="111" t="s">
        <v>821</v>
      </c>
      <c r="D655" s="110"/>
      <c r="E655" s="110"/>
      <c r="F655" s="110"/>
      <c r="G655" s="110"/>
      <c r="H655" s="110"/>
      <c r="I655" s="75"/>
      <c r="J655" s="76"/>
      <c r="K655" s="76"/>
      <c r="L655" s="76"/>
    </row>
    <row r="656" spans="1:12" s="67" customFormat="1" ht="15">
      <c r="A656" s="72"/>
      <c r="B656" s="73"/>
      <c r="C656" s="110" t="s">
        <v>822</v>
      </c>
      <c r="D656" s="110"/>
      <c r="E656" s="110"/>
      <c r="F656" s="110"/>
      <c r="G656" s="110"/>
      <c r="H656" s="110"/>
      <c r="I656" s="75"/>
      <c r="J656" s="76">
        <f>SUM(Q30:Q651)</f>
        <v>7135.6999999999989</v>
      </c>
      <c r="K656" s="76"/>
      <c r="L656" s="76">
        <f>SUM(U30:U651)</f>
        <v>206435.80000000008</v>
      </c>
    </row>
    <row r="657" spans="1:12" s="67" customFormat="1" ht="15">
      <c r="A657" s="72"/>
      <c r="B657" s="73" t="str">
        <f>Source!V451</f>
        <v/>
      </c>
      <c r="C657" s="110" t="s">
        <v>823</v>
      </c>
      <c r="D657" s="110"/>
      <c r="E657" s="110"/>
      <c r="F657" s="110"/>
      <c r="G657" s="110"/>
      <c r="H657" s="110"/>
      <c r="I657" s="75"/>
      <c r="J657" s="76">
        <f>SUM(AB30:AB651)</f>
        <v>56378.659999999996</v>
      </c>
      <c r="K657" s="76">
        <f>Source!E451</f>
        <v>7.72</v>
      </c>
      <c r="L657" s="76">
        <f>ROUND(J657*K657, 2)</f>
        <v>435243.26</v>
      </c>
    </row>
    <row r="658" spans="1:12" s="67" customFormat="1" ht="15">
      <c r="A658" s="72"/>
      <c r="B658" s="73" t="str">
        <f>Source!U451</f>
        <v/>
      </c>
      <c r="C658" s="110" t="s">
        <v>824</v>
      </c>
      <c r="D658" s="110"/>
      <c r="E658" s="110"/>
      <c r="F658" s="110"/>
      <c r="G658" s="110"/>
      <c r="H658" s="110"/>
      <c r="I658" s="75"/>
      <c r="J658" s="76">
        <f>SUM(AF30:AF651)-J663</f>
        <v>339565.82</v>
      </c>
      <c r="K658" s="76">
        <f>Source!D451</f>
        <v>5.15</v>
      </c>
      <c r="L658" s="76">
        <f>ROUND(J658*K658, 2)</f>
        <v>1748763.97</v>
      </c>
    </row>
    <row r="659" spans="1:12" s="67" customFormat="1" ht="15">
      <c r="A659" s="72"/>
      <c r="B659" s="73" t="str">
        <f>Source!AB451</f>
        <v/>
      </c>
      <c r="C659" s="110" t="s">
        <v>825</v>
      </c>
      <c r="D659" s="110"/>
      <c r="E659" s="110"/>
      <c r="F659" s="110"/>
      <c r="G659" s="110"/>
      <c r="H659" s="110"/>
      <c r="I659" s="75"/>
      <c r="J659" s="76">
        <f>SUM(AR30:AR651)+SUM(BB30:BB651)+SUM(BI30:BI651)+SUM(BP30:BP651)</f>
        <v>1751.86</v>
      </c>
      <c r="K659" s="76">
        <f>Source!L451</f>
        <v>7.72</v>
      </c>
      <c r="L659" s="76">
        <f>ROUND(J659*K659, 2)</f>
        <v>13524.36</v>
      </c>
    </row>
    <row r="660" spans="1:12" s="67" customFormat="1" ht="15">
      <c r="A660" s="72"/>
      <c r="B660" s="73"/>
      <c r="C660" s="110" t="s">
        <v>882</v>
      </c>
      <c r="D660" s="110"/>
      <c r="E660" s="110"/>
      <c r="F660" s="110"/>
      <c r="G660" s="110"/>
      <c r="H660" s="110"/>
      <c r="I660" s="75"/>
      <c r="J660" s="76">
        <f>SUM(Q30:Q651)+SUM(X30:X651)</f>
        <v>8522.3999999999978</v>
      </c>
      <c r="K660" s="76"/>
      <c r="L660" s="76">
        <f>SUM(U30:U651)+SUM(Z30:Z651)</f>
        <v>246553.02000000008</v>
      </c>
    </row>
    <row r="661" spans="1:12" s="67" customFormat="1" ht="15">
      <c r="A661" s="72"/>
      <c r="B661" s="73"/>
      <c r="C661" s="110" t="s">
        <v>883</v>
      </c>
      <c r="D661" s="110"/>
      <c r="E661" s="110"/>
      <c r="F661" s="110"/>
      <c r="G661" s="110"/>
      <c r="H661" s="110"/>
      <c r="I661" s="75"/>
      <c r="J661" s="76">
        <f>SUM(AG30:AG651)</f>
        <v>8489.6500000000015</v>
      </c>
      <c r="K661" s="76"/>
      <c r="L661" s="76">
        <f>SUM(AH30:AH651)</f>
        <v>245605.11000000002</v>
      </c>
    </row>
    <row r="662" spans="1:12" s="67" customFormat="1" ht="15">
      <c r="A662" s="72"/>
      <c r="B662" s="73"/>
      <c r="C662" s="110" t="s">
        <v>884</v>
      </c>
      <c r="D662" s="110"/>
      <c r="E662" s="110"/>
      <c r="F662" s="110"/>
      <c r="G662" s="110"/>
      <c r="H662" s="110"/>
      <c r="I662" s="75"/>
      <c r="J662" s="76">
        <f>SUM(AI30:AI651)</f>
        <v>4595.1399999999985</v>
      </c>
      <c r="K662" s="76"/>
      <c r="L662" s="76">
        <f>SUM(AJ30:AJ651)</f>
        <v>132937.33000000002</v>
      </c>
    </row>
    <row r="663" spans="1:12" s="67" customFormat="1" ht="14.25" hidden="1" customHeight="1">
      <c r="A663" s="72"/>
      <c r="B663" s="73" t="str">
        <f>Source!Y451</f>
        <v/>
      </c>
      <c r="C663" s="110" t="s">
        <v>885</v>
      </c>
      <c r="D663" s="110"/>
      <c r="E663" s="110"/>
      <c r="F663" s="110"/>
      <c r="G663" s="110"/>
      <c r="H663" s="110"/>
      <c r="I663" s="75"/>
      <c r="J663" s="76">
        <f>SUM(BH30:BH651)</f>
        <v>0</v>
      </c>
      <c r="K663" s="76">
        <f>Source!H451</f>
        <v>1</v>
      </c>
      <c r="L663" s="76">
        <f>ROUND(J663*K663, 2)</f>
        <v>0</v>
      </c>
    </row>
    <row r="664" spans="1:12" s="67" customFormat="1" ht="15">
      <c r="A664" s="72"/>
      <c r="B664" s="73"/>
      <c r="C664" s="110" t="s">
        <v>886</v>
      </c>
      <c r="D664" s="110"/>
      <c r="E664" s="110"/>
      <c r="F664" s="110"/>
      <c r="G664" s="110"/>
      <c r="H664" s="110"/>
      <c r="I664" s="75"/>
      <c r="J664" s="76">
        <f>J667+J666</f>
        <v>225.86999999999998</v>
      </c>
      <c r="K664" s="76"/>
      <c r="L664" s="76">
        <f>ROUND(L667+L666, 2)</f>
        <v>6534.59</v>
      </c>
    </row>
    <row r="665" spans="1:12" s="67" customFormat="1" ht="15">
      <c r="A665" s="72"/>
      <c r="B665" s="73"/>
      <c r="C665" s="111" t="s">
        <v>821</v>
      </c>
      <c r="D665" s="110"/>
      <c r="E665" s="110"/>
      <c r="F665" s="110"/>
      <c r="G665" s="110"/>
      <c r="H665" s="110"/>
      <c r="I665" s="75"/>
      <c r="J665" s="76"/>
      <c r="K665" s="76"/>
      <c r="L665" s="76"/>
    </row>
    <row r="666" spans="1:12" s="67" customFormat="1" ht="15">
      <c r="A666" s="72"/>
      <c r="B666" s="73" t="str">
        <f>Source!AA451</f>
        <v/>
      </c>
      <c r="C666" s="110" t="s">
        <v>887</v>
      </c>
      <c r="D666" s="110"/>
      <c r="E666" s="110"/>
      <c r="F666" s="110"/>
      <c r="G666" s="110"/>
      <c r="H666" s="110"/>
      <c r="I666" s="75"/>
      <c r="J666" s="76">
        <f>SUM(BN30:BN651)</f>
        <v>225.86999999999998</v>
      </c>
      <c r="K666" s="76">
        <f>Source!K451</f>
        <v>28.93</v>
      </c>
      <c r="L666" s="76">
        <f>SUM(BU30:BU651)</f>
        <v>6534.5899999999983</v>
      </c>
    </row>
    <row r="667" spans="1:12" s="67" customFormat="1" ht="14.25" hidden="1" customHeight="1">
      <c r="A667" s="72"/>
      <c r="B667" s="73" t="str">
        <f>Source!Z451</f>
        <v/>
      </c>
      <c r="C667" s="110" t="s">
        <v>888</v>
      </c>
      <c r="D667" s="110"/>
      <c r="E667" s="110"/>
      <c r="F667" s="110"/>
      <c r="G667" s="110"/>
      <c r="H667" s="110"/>
      <c r="I667" s="75"/>
      <c r="J667" s="76">
        <f>SUM(BM30:BM651)</f>
        <v>0</v>
      </c>
      <c r="K667" s="76">
        <f>Source!I451</f>
        <v>1</v>
      </c>
      <c r="L667" s="76">
        <f>ROUND(J667*K667, 2)</f>
        <v>0</v>
      </c>
    </row>
    <row r="668" spans="1:12" s="67" customFormat="1" ht="15">
      <c r="A668" s="72"/>
      <c r="B668" s="74"/>
      <c r="C668" s="110" t="s">
        <v>880</v>
      </c>
      <c r="D668" s="110"/>
      <c r="E668" s="110"/>
      <c r="F668" s="110"/>
      <c r="G668" s="110"/>
      <c r="H668" s="110"/>
      <c r="I668" s="75"/>
      <c r="J668" s="76">
        <f>J654+J661+J662+J663</f>
        <v>417916.83</v>
      </c>
      <c r="K668" s="76"/>
      <c r="L668" s="76">
        <f>L654+L661+L662+L663</f>
        <v>2782509.83</v>
      </c>
    </row>
    <row r="669" spans="1:12" s="67" customFormat="1" ht="15">
      <c r="C669" s="120" t="s">
        <v>895</v>
      </c>
      <c r="D669" s="120"/>
      <c r="E669" s="120"/>
      <c r="F669" s="120"/>
      <c r="G669" s="120"/>
      <c r="H669" s="120"/>
      <c r="I669" s="85"/>
      <c r="J669" s="78"/>
      <c r="K669" s="86"/>
      <c r="L669" s="81">
        <f>L668*20/100</f>
        <v>556501.96600000001</v>
      </c>
    </row>
    <row r="670" spans="1:12" s="67" customFormat="1" ht="15.75">
      <c r="C670" s="119" t="s">
        <v>896</v>
      </c>
      <c r="D670" s="119"/>
      <c r="E670" s="119"/>
      <c r="F670" s="119"/>
      <c r="G670" s="119"/>
      <c r="H670" s="119"/>
      <c r="I670" s="77"/>
      <c r="J670" s="78"/>
      <c r="K670" s="79"/>
      <c r="L670" s="80">
        <f>L668+L669</f>
        <v>3339011.7960000001</v>
      </c>
    </row>
    <row r="671" spans="1:12" s="67" customFormat="1" ht="15">
      <c r="C671" s="66"/>
      <c r="D671" s="66"/>
      <c r="E671" s="66"/>
      <c r="F671" s="66"/>
      <c r="G671" s="66"/>
      <c r="H671" s="66"/>
      <c r="I671" s="66"/>
      <c r="J671" s="66"/>
      <c r="K671" s="66"/>
      <c r="L671" s="66"/>
    </row>
    <row r="672" spans="1:12" s="67" customFormat="1" ht="15">
      <c r="C672" s="66"/>
      <c r="D672" s="66"/>
      <c r="E672" s="66"/>
      <c r="F672" s="66"/>
      <c r="G672" s="66"/>
      <c r="H672" s="66"/>
      <c r="I672" s="66"/>
      <c r="J672" s="66"/>
      <c r="K672" s="66"/>
      <c r="L672" s="81"/>
    </row>
    <row r="673" spans="3:12" s="67" customFormat="1" ht="30" customHeight="1">
      <c r="C673" s="82" t="s">
        <v>897</v>
      </c>
      <c r="D673" s="118"/>
      <c r="E673" s="118"/>
      <c r="F673" s="66"/>
      <c r="G673" s="66"/>
      <c r="H673" s="66"/>
      <c r="I673" s="66"/>
      <c r="J673" s="66"/>
      <c r="K673" s="66"/>
      <c r="L673" s="66"/>
    </row>
    <row r="674" spans="3:12" s="67" customFormat="1" ht="21.75" customHeight="1">
      <c r="C674" s="66"/>
      <c r="D674" s="83"/>
      <c r="E674" s="84"/>
      <c r="F674" s="66"/>
      <c r="G674" s="66"/>
      <c r="H674" s="66"/>
      <c r="I674" s="66"/>
      <c r="J674" s="66"/>
      <c r="K674" s="66"/>
      <c r="L674" s="66"/>
    </row>
    <row r="675" spans="3:12" s="67" customFormat="1" ht="15">
      <c r="C675" s="82" t="s">
        <v>889</v>
      </c>
      <c r="D675" s="118"/>
      <c r="E675" s="118"/>
      <c r="F675" s="66"/>
      <c r="G675" s="66"/>
      <c r="H675" s="66"/>
      <c r="I675" s="66"/>
      <c r="J675" s="66"/>
      <c r="K675" s="66"/>
      <c r="L675" s="66"/>
    </row>
    <row r="676" spans="3:12" s="67" customFormat="1" ht="15"/>
    <row r="677" spans="3:12" s="67" customFormat="1" ht="15"/>
    <row r="678" spans="3:12" s="67" customFormat="1" ht="15"/>
    <row r="680" spans="3:12">
      <c r="L680">
        <v>1516351.6</v>
      </c>
    </row>
    <row r="681" spans="3:12">
      <c r="L681" s="121">
        <f>L670-L680</f>
        <v>1822660.196</v>
      </c>
    </row>
  </sheetData>
  <mergeCells count="274">
    <mergeCell ref="C665:H665"/>
    <mergeCell ref="A2:F2"/>
    <mergeCell ref="I2:L2"/>
    <mergeCell ref="A3:F3"/>
    <mergeCell ref="I3:L3"/>
    <mergeCell ref="A7:L7"/>
    <mergeCell ref="I5:L5"/>
    <mergeCell ref="D673:E673"/>
    <mergeCell ref="D675:E675"/>
    <mergeCell ref="C670:H670"/>
    <mergeCell ref="C669:H669"/>
    <mergeCell ref="C646:H646"/>
    <mergeCell ref="C645:H645"/>
    <mergeCell ref="C644:H644"/>
    <mergeCell ref="C643:H643"/>
    <mergeCell ref="C668:H668"/>
    <mergeCell ref="C667:H667"/>
    <mergeCell ref="C666:H666"/>
    <mergeCell ref="A612:L612"/>
    <mergeCell ref="C604:H604"/>
    <mergeCell ref="C664:H664"/>
    <mergeCell ref="C663:H663"/>
    <mergeCell ref="C662:H662"/>
    <mergeCell ref="C661:H661"/>
    <mergeCell ref="C660:H660"/>
    <mergeCell ref="C659:H659"/>
    <mergeCell ref="C658:H658"/>
    <mergeCell ref="C657:H657"/>
    <mergeCell ref="C633:H633"/>
    <mergeCell ref="C632:H632"/>
    <mergeCell ref="I630:J630"/>
    <mergeCell ref="C630:H630"/>
    <mergeCell ref="C590:H590"/>
    <mergeCell ref="C591:H591"/>
    <mergeCell ref="C648:I648"/>
    <mergeCell ref="C649:I649"/>
    <mergeCell ref="C650:I650"/>
    <mergeCell ref="C651:I651"/>
    <mergeCell ref="C656:H656"/>
    <mergeCell ref="C655:H655"/>
    <mergeCell ref="C654:H654"/>
    <mergeCell ref="C653:H653"/>
    <mergeCell ref="C607:I607"/>
    <mergeCell ref="C608:I608"/>
    <mergeCell ref="C609:I609"/>
    <mergeCell ref="C610:I610"/>
    <mergeCell ref="C647:I647"/>
    <mergeCell ref="C637:H637"/>
    <mergeCell ref="K588:L588"/>
    <mergeCell ref="I588:J588"/>
    <mergeCell ref="C588:H588"/>
    <mergeCell ref="C642:H642"/>
    <mergeCell ref="C641:H641"/>
    <mergeCell ref="C640:H640"/>
    <mergeCell ref="C639:H639"/>
    <mergeCell ref="C638:H638"/>
    <mergeCell ref="C597:H597"/>
    <mergeCell ref="C596:H596"/>
    <mergeCell ref="C595:H595"/>
    <mergeCell ref="C594:H594"/>
    <mergeCell ref="C593:H593"/>
    <mergeCell ref="C592:H592"/>
    <mergeCell ref="C605:I605"/>
    <mergeCell ref="C606:I606"/>
    <mergeCell ref="C603:H603"/>
    <mergeCell ref="C602:H602"/>
    <mergeCell ref="C601:H601"/>
    <mergeCell ref="C600:H600"/>
    <mergeCell ref="C599:H599"/>
    <mergeCell ref="C598:H598"/>
    <mergeCell ref="I621:J621"/>
    <mergeCell ref="C621:H621"/>
    <mergeCell ref="K510:L510"/>
    <mergeCell ref="I510:J510"/>
    <mergeCell ref="C510:H510"/>
    <mergeCell ref="I540:J540"/>
    <mergeCell ref="C540:H540"/>
    <mergeCell ref="I525:J525"/>
    <mergeCell ref="C525:H525"/>
    <mergeCell ref="C558:H558"/>
    <mergeCell ref="C557:H557"/>
    <mergeCell ref="C556:H556"/>
    <mergeCell ref="C555:H555"/>
    <mergeCell ref="I585:J585"/>
    <mergeCell ref="C585:H585"/>
    <mergeCell ref="I582:J582"/>
    <mergeCell ref="C582:H582"/>
    <mergeCell ref="I579:J579"/>
    <mergeCell ref="C579:H579"/>
    <mergeCell ref="K576:L576"/>
    <mergeCell ref="K544:L544"/>
    <mergeCell ref="I544:J544"/>
    <mergeCell ref="C544:H544"/>
    <mergeCell ref="C566:I566"/>
    <mergeCell ref="I576:J576"/>
    <mergeCell ref="C576:H576"/>
    <mergeCell ref="I573:J573"/>
    <mergeCell ref="C573:H573"/>
    <mergeCell ref="C561:I561"/>
    <mergeCell ref="C562:I562"/>
    <mergeCell ref="K570:L570"/>
    <mergeCell ref="I570:J570"/>
    <mergeCell ref="C570:H570"/>
    <mergeCell ref="A567:L567"/>
    <mergeCell ref="C560:H560"/>
    <mergeCell ref="C559:H559"/>
    <mergeCell ref="C563:I563"/>
    <mergeCell ref="C411:H411"/>
    <mergeCell ref="C554:H554"/>
    <mergeCell ref="C553:H553"/>
    <mergeCell ref="C552:H552"/>
    <mergeCell ref="C551:H551"/>
    <mergeCell ref="C550:H550"/>
    <mergeCell ref="C549:H549"/>
    <mergeCell ref="C548:H548"/>
    <mergeCell ref="C547:H547"/>
    <mergeCell ref="C546:H546"/>
    <mergeCell ref="C415:I415"/>
    <mergeCell ref="C416:I416"/>
    <mergeCell ref="C417:I417"/>
    <mergeCell ref="I435:J435"/>
    <mergeCell ref="C435:H435"/>
    <mergeCell ref="A422:L422"/>
    <mergeCell ref="C414:H414"/>
    <mergeCell ref="C413:H413"/>
    <mergeCell ref="C412:H412"/>
    <mergeCell ref="I506:J506"/>
    <mergeCell ref="C506:H506"/>
    <mergeCell ref="K494:L494"/>
    <mergeCell ref="I494:J494"/>
    <mergeCell ref="C494:H494"/>
    <mergeCell ref="C418:I418"/>
    <mergeCell ref="C419:I419"/>
    <mergeCell ref="C420:I420"/>
    <mergeCell ref="I490:J490"/>
    <mergeCell ref="C490:H490"/>
    <mergeCell ref="I477:J477"/>
    <mergeCell ref="C477:H477"/>
    <mergeCell ref="I461:J461"/>
    <mergeCell ref="C461:H461"/>
    <mergeCell ref="I456:J456"/>
    <mergeCell ref="C456:H456"/>
    <mergeCell ref="I448:J448"/>
    <mergeCell ref="C448:H448"/>
    <mergeCell ref="C401:H401"/>
    <mergeCell ref="C400:H400"/>
    <mergeCell ref="I398:J398"/>
    <mergeCell ref="C398:H398"/>
    <mergeCell ref="C360:I360"/>
    <mergeCell ref="C361:I361"/>
    <mergeCell ref="I394:J394"/>
    <mergeCell ref="C394:H394"/>
    <mergeCell ref="I380:J380"/>
    <mergeCell ref="C380:H380"/>
    <mergeCell ref="A366:L366"/>
    <mergeCell ref="I273:J273"/>
    <mergeCell ref="C273:H273"/>
    <mergeCell ref="I259:J259"/>
    <mergeCell ref="C259:H259"/>
    <mergeCell ref="I245:J245"/>
    <mergeCell ref="C245:H245"/>
    <mergeCell ref="I343:J343"/>
    <mergeCell ref="C410:H410"/>
    <mergeCell ref="C409:H409"/>
    <mergeCell ref="C408:H408"/>
    <mergeCell ref="C407:H407"/>
    <mergeCell ref="C406:H406"/>
    <mergeCell ref="C405:H405"/>
    <mergeCell ref="C404:H404"/>
    <mergeCell ref="C403:H403"/>
    <mergeCell ref="C402:H402"/>
    <mergeCell ref="C350:H350"/>
    <mergeCell ref="C349:H349"/>
    <mergeCell ref="C348:H348"/>
    <mergeCell ref="C347:H347"/>
    <mergeCell ref="C346:H346"/>
    <mergeCell ref="C345:H345"/>
    <mergeCell ref="C363:I363"/>
    <mergeCell ref="C364:I364"/>
    <mergeCell ref="C203:H203"/>
    <mergeCell ref="C284:H284"/>
    <mergeCell ref="C359:H359"/>
    <mergeCell ref="C358:H358"/>
    <mergeCell ref="C357:H357"/>
    <mergeCell ref="C356:H356"/>
    <mergeCell ref="C355:H355"/>
    <mergeCell ref="C354:H354"/>
    <mergeCell ref="C353:H353"/>
    <mergeCell ref="C352:H352"/>
    <mergeCell ref="C351:H351"/>
    <mergeCell ref="C95:H95"/>
    <mergeCell ref="I85:J85"/>
    <mergeCell ref="C146:H146"/>
    <mergeCell ref="C145:H145"/>
    <mergeCell ref="C343:H343"/>
    <mergeCell ref="I332:J332"/>
    <mergeCell ref="C332:H332"/>
    <mergeCell ref="I321:J321"/>
    <mergeCell ref="C321:H321"/>
    <mergeCell ref="I308:J308"/>
    <mergeCell ref="C154:H154"/>
    <mergeCell ref="C153:H153"/>
    <mergeCell ref="C152:H152"/>
    <mergeCell ref="C151:H151"/>
    <mergeCell ref="C150:H150"/>
    <mergeCell ref="C149:H149"/>
    <mergeCell ref="C161:I161"/>
    <mergeCell ref="C162:I162"/>
    <mergeCell ref="I189:J189"/>
    <mergeCell ref="I231:J231"/>
    <mergeCell ref="C231:H231"/>
    <mergeCell ref="I217:J217"/>
    <mergeCell ref="C217:H217"/>
    <mergeCell ref="I203:J203"/>
    <mergeCell ref="C636:H636"/>
    <mergeCell ref="C635:H635"/>
    <mergeCell ref="C634:H634"/>
    <mergeCell ref="C362:I362"/>
    <mergeCell ref="C308:H308"/>
    <mergeCell ref="I297:J297"/>
    <mergeCell ref="C297:H297"/>
    <mergeCell ref="I284:J284"/>
    <mergeCell ref="H25:J27"/>
    <mergeCell ref="C564:I564"/>
    <mergeCell ref="C565:I565"/>
    <mergeCell ref="I41:J41"/>
    <mergeCell ref="C41:H41"/>
    <mergeCell ref="A31:L31"/>
    <mergeCell ref="C189:H189"/>
    <mergeCell ref="I176:J176"/>
    <mergeCell ref="C176:H176"/>
    <mergeCell ref="A164:L164"/>
    <mergeCell ref="C157:H157"/>
    <mergeCell ref="C156:H156"/>
    <mergeCell ref="C155:H155"/>
    <mergeCell ref="I74:J74"/>
    <mergeCell ref="C74:H74"/>
    <mergeCell ref="I64:J64"/>
    <mergeCell ref="K25:K28"/>
    <mergeCell ref="L25:L28"/>
    <mergeCell ref="C158:I158"/>
    <mergeCell ref="C159:I159"/>
    <mergeCell ref="C160:I160"/>
    <mergeCell ref="C144:H144"/>
    <mergeCell ref="C143:H143"/>
    <mergeCell ref="I141:J141"/>
    <mergeCell ref="C141:H141"/>
    <mergeCell ref="I119:J119"/>
    <mergeCell ref="C119:H119"/>
    <mergeCell ref="I106:J106"/>
    <mergeCell ref="C106:H106"/>
    <mergeCell ref="C85:H85"/>
    <mergeCell ref="I130:J130"/>
    <mergeCell ref="C130:H130"/>
    <mergeCell ref="C148:H148"/>
    <mergeCell ref="C147:H147"/>
    <mergeCell ref="C64:H64"/>
    <mergeCell ref="I51:J51"/>
    <mergeCell ref="C51:H51"/>
    <mergeCell ref="I101:J101"/>
    <mergeCell ref="C101:H101"/>
    <mergeCell ref="I95:J95"/>
    <mergeCell ref="C12:G12"/>
    <mergeCell ref="C13:G13"/>
    <mergeCell ref="D17:E17"/>
    <mergeCell ref="D20:E20"/>
    <mergeCell ref="D21:E21"/>
    <mergeCell ref="D22:E22"/>
    <mergeCell ref="D23:E23"/>
    <mergeCell ref="A25:A28"/>
    <mergeCell ref="B25:B28"/>
    <mergeCell ref="C25:C28"/>
    <mergeCell ref="D25:D28"/>
    <mergeCell ref="E25:G27"/>
  </mergeCells>
  <pageMargins left="0.39370078740157483" right="0.19685039370078741" top="0.19685039370078741" bottom="0.19685039370078741" header="0.19685039370078741" footer="0.19685039370078741"/>
  <pageSetup paperSize="9" scale="50" fitToHeight="0" orientation="portrait" verticalDpi="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K455"/>
  <sheetViews>
    <sheetView workbookViewId="0">
      <selection activeCell="A451" sqref="A451:AN451"/>
    </sheetView>
  </sheetViews>
  <sheetFormatPr defaultColWidth="9.140625" defaultRowHeight="12.75"/>
  <cols>
    <col min="1" max="256" width="9.140625" customWidth="1"/>
  </cols>
  <sheetData>
    <row r="1" spans="1:133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40117</v>
      </c>
      <c r="M1">
        <v>10</v>
      </c>
      <c r="N1">
        <v>11</v>
      </c>
      <c r="O1">
        <v>5</v>
      </c>
      <c r="P1">
        <v>3</v>
      </c>
      <c r="Q1">
        <v>2</v>
      </c>
    </row>
    <row r="12" spans="1:133">
      <c r="A12" s="1">
        <v>1</v>
      </c>
      <c r="B12" s="1">
        <v>450</v>
      </c>
      <c r="C12" s="1">
        <v>0</v>
      </c>
      <c r="D12" s="1">
        <f>ROW(A387)</f>
        <v>387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131078</v>
      </c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>
        <v>3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>
        <v>2</v>
      </c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3</v>
      </c>
      <c r="CF12" s="1">
        <v>0</v>
      </c>
      <c r="CG12" s="1">
        <v>0</v>
      </c>
      <c r="CH12" s="1">
        <v>403177480</v>
      </c>
      <c r="CI12" s="1" t="s">
        <v>3</v>
      </c>
      <c r="CJ12" s="1" t="s">
        <v>3</v>
      </c>
      <c r="CK12" s="1">
        <v>0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>
      <c r="A18" s="2">
        <v>52</v>
      </c>
      <c r="B18" s="2">
        <f t="shared" ref="B18:G18" si="0">B387</f>
        <v>450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объект_(Копия)_(Копия)_(Копия)_(Копия)_(Копия)_(Копия)_(Копия)_(Копия)_(Копия)_(Копия)_(Копия)_(Копия)_(Копия)_(Копия)_(Копия)_(Копия)</v>
      </c>
      <c r="G18" s="2" t="str">
        <f t="shared" si="0"/>
        <v>38-03-23 КЛ-1 кВ ТП-477 Засечное примерно 6,7 км на северо-восток асфальт</v>
      </c>
      <c r="H18" s="2"/>
      <c r="I18" s="2"/>
      <c r="J18" s="2"/>
      <c r="K18" s="2"/>
      <c r="L18" s="2"/>
      <c r="M18" s="2"/>
      <c r="N18" s="2"/>
      <c r="O18" s="2">
        <f t="shared" ref="O18:AT18" si="1">O387</f>
        <v>404832.04</v>
      </c>
      <c r="P18" s="2">
        <f t="shared" si="1"/>
        <v>339565.82</v>
      </c>
      <c r="Q18" s="2">
        <f t="shared" si="1"/>
        <v>58130.52</v>
      </c>
      <c r="R18" s="2">
        <f t="shared" si="1"/>
        <v>1386.7</v>
      </c>
      <c r="S18" s="2">
        <f t="shared" si="1"/>
        <v>7135.7</v>
      </c>
      <c r="T18" s="2">
        <f t="shared" si="1"/>
        <v>0</v>
      </c>
      <c r="U18" s="2">
        <f t="shared" si="1"/>
        <v>809.20273140999996</v>
      </c>
      <c r="V18" s="2">
        <f t="shared" si="1"/>
        <v>132.88028832000001</v>
      </c>
      <c r="W18" s="2">
        <f t="shared" si="1"/>
        <v>0</v>
      </c>
      <c r="X18" s="2">
        <f t="shared" si="1"/>
        <v>8489.65</v>
      </c>
      <c r="Y18" s="2">
        <f t="shared" si="1"/>
        <v>4595.1400000000003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417916.83</v>
      </c>
      <c r="AS18" s="2">
        <f t="shared" si="1"/>
        <v>65486.51</v>
      </c>
      <c r="AT18" s="2">
        <f t="shared" si="1"/>
        <v>352204.45</v>
      </c>
      <c r="AU18" s="2">
        <f t="shared" ref="AU18:BZ18" si="2">AU387</f>
        <v>225.87</v>
      </c>
      <c r="AV18" s="2">
        <f t="shared" si="2"/>
        <v>339565.82</v>
      </c>
      <c r="AW18" s="2">
        <f t="shared" si="2"/>
        <v>339565.82</v>
      </c>
      <c r="AX18" s="2">
        <f t="shared" si="2"/>
        <v>0</v>
      </c>
      <c r="AY18" s="2">
        <f t="shared" si="2"/>
        <v>339565.82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1751.86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CA387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DG387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EM387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FS387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>
      <c r="A20" s="1">
        <v>3</v>
      </c>
      <c r="B20" s="1">
        <v>1</v>
      </c>
      <c r="C20" s="1"/>
      <c r="D20" s="1">
        <f>ROW(A348)</f>
        <v>348</v>
      </c>
      <c r="E20" s="1"/>
      <c r="F20" s="1" t="s">
        <v>3</v>
      </c>
      <c r="G20" s="1" t="s">
        <v>11</v>
      </c>
      <c r="H20" s="1" t="s">
        <v>3</v>
      </c>
      <c r="I20" s="1">
        <v>0</v>
      </c>
      <c r="J20" s="1" t="s">
        <v>3</v>
      </c>
      <c r="K20" s="1">
        <v>-1</v>
      </c>
      <c r="L20" s="1" t="s">
        <v>12</v>
      </c>
      <c r="M20" s="1" t="s">
        <v>3</v>
      </c>
      <c r="N20" s="1"/>
      <c r="O20" s="1"/>
      <c r="P20" s="1"/>
      <c r="Q20" s="1"/>
      <c r="R20" s="1"/>
      <c r="S20" s="1">
        <v>47920235</v>
      </c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  <c r="CK20" t="s">
        <v>3</v>
      </c>
      <c r="CL20" t="s">
        <v>3</v>
      </c>
      <c r="CM20" t="s">
        <v>3</v>
      </c>
      <c r="CN20" t="s">
        <v>3</v>
      </c>
      <c r="CO20" t="s">
        <v>3</v>
      </c>
      <c r="CP20" t="s">
        <v>3</v>
      </c>
      <c r="CQ20" t="s">
        <v>3</v>
      </c>
    </row>
    <row r="22" spans="1:245">
      <c r="A22" s="2">
        <v>52</v>
      </c>
      <c r="B22" s="2">
        <f t="shared" ref="B22:G22" si="7">B348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/>
      </c>
      <c r="G22" s="2" t="str">
        <f t="shared" si="7"/>
        <v>2КЛ-1 кВ от РУ-0,4 кВ ТП-477 ф.1.4, ф.7.1 -муфты М1, М2</v>
      </c>
      <c r="H22" s="2"/>
      <c r="I22" s="2"/>
      <c r="J22" s="2"/>
      <c r="K22" s="2"/>
      <c r="L22" s="2"/>
      <c r="M22" s="2"/>
      <c r="N22" s="2"/>
      <c r="O22" s="2">
        <f t="shared" ref="O22:AT22" si="8">O348</f>
        <v>404832.04</v>
      </c>
      <c r="P22" s="2">
        <f t="shared" si="8"/>
        <v>339565.82</v>
      </c>
      <c r="Q22" s="2">
        <f t="shared" si="8"/>
        <v>58130.52</v>
      </c>
      <c r="R22" s="2">
        <f t="shared" si="8"/>
        <v>1386.7</v>
      </c>
      <c r="S22" s="2">
        <f t="shared" si="8"/>
        <v>7135.7</v>
      </c>
      <c r="T22" s="2">
        <f t="shared" si="8"/>
        <v>0</v>
      </c>
      <c r="U22" s="2">
        <f t="shared" si="8"/>
        <v>809.20273140999996</v>
      </c>
      <c r="V22" s="2">
        <f t="shared" si="8"/>
        <v>132.88028832000001</v>
      </c>
      <c r="W22" s="2">
        <f t="shared" si="8"/>
        <v>0</v>
      </c>
      <c r="X22" s="2">
        <f t="shared" si="8"/>
        <v>8489.65</v>
      </c>
      <c r="Y22" s="2">
        <f t="shared" si="8"/>
        <v>4595.1400000000003</v>
      </c>
      <c r="Z22" s="2">
        <f t="shared" si="8"/>
        <v>0</v>
      </c>
      <c r="AA22" s="2">
        <f t="shared" si="8"/>
        <v>0</v>
      </c>
      <c r="AB22" s="2">
        <f t="shared" si="8"/>
        <v>0</v>
      </c>
      <c r="AC22" s="2">
        <f t="shared" si="8"/>
        <v>0</v>
      </c>
      <c r="AD22" s="2">
        <f t="shared" si="8"/>
        <v>0</v>
      </c>
      <c r="AE22" s="2">
        <f t="shared" si="8"/>
        <v>0</v>
      </c>
      <c r="AF22" s="2">
        <f t="shared" si="8"/>
        <v>0</v>
      </c>
      <c r="AG22" s="2">
        <f t="shared" si="8"/>
        <v>0</v>
      </c>
      <c r="AH22" s="2">
        <f t="shared" si="8"/>
        <v>0</v>
      </c>
      <c r="AI22" s="2">
        <f t="shared" si="8"/>
        <v>0</v>
      </c>
      <c r="AJ22" s="2">
        <f t="shared" si="8"/>
        <v>0</v>
      </c>
      <c r="AK22" s="2">
        <f t="shared" si="8"/>
        <v>0</v>
      </c>
      <c r="AL22" s="2">
        <f t="shared" si="8"/>
        <v>0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417916.83</v>
      </c>
      <c r="AS22" s="2">
        <f t="shared" si="8"/>
        <v>65486.51</v>
      </c>
      <c r="AT22" s="2">
        <f t="shared" si="8"/>
        <v>352204.45</v>
      </c>
      <c r="AU22" s="2">
        <f t="shared" ref="AU22:BZ22" si="9">AU348</f>
        <v>225.87</v>
      </c>
      <c r="AV22" s="2">
        <f t="shared" si="9"/>
        <v>339565.82</v>
      </c>
      <c r="AW22" s="2">
        <f t="shared" si="9"/>
        <v>339565.82</v>
      </c>
      <c r="AX22" s="2">
        <f t="shared" si="9"/>
        <v>0</v>
      </c>
      <c r="AY22" s="2">
        <f t="shared" si="9"/>
        <v>339565.82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1751.86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CA348</f>
        <v>0</v>
      </c>
      <c r="CB22" s="2">
        <f t="shared" si="10"/>
        <v>0</v>
      </c>
      <c r="CC22" s="2">
        <f t="shared" si="10"/>
        <v>0</v>
      </c>
      <c r="CD22" s="2">
        <f t="shared" si="10"/>
        <v>0</v>
      </c>
      <c r="CE22" s="2">
        <f t="shared" si="10"/>
        <v>0</v>
      </c>
      <c r="CF22" s="2">
        <f t="shared" si="10"/>
        <v>0</v>
      </c>
      <c r="CG22" s="2">
        <f t="shared" si="10"/>
        <v>0</v>
      </c>
      <c r="CH22" s="2">
        <f t="shared" si="10"/>
        <v>0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DG348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EM348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FS348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>
      <c r="A24" s="1">
        <v>4</v>
      </c>
      <c r="B24" s="1">
        <v>1</v>
      </c>
      <c r="C24" s="1"/>
      <c r="D24" s="1">
        <f>ROW(A40)</f>
        <v>40</v>
      </c>
      <c r="E24" s="1"/>
      <c r="F24" s="1" t="s">
        <v>13</v>
      </c>
      <c r="G24" s="1" t="s">
        <v>14</v>
      </c>
      <c r="H24" s="1" t="s">
        <v>3</v>
      </c>
      <c r="I24" s="1">
        <v>0</v>
      </c>
      <c r="J24" s="1"/>
      <c r="K24" s="1">
        <v>-1</v>
      </c>
      <c r="L24" s="1"/>
      <c r="M24" s="1" t="s">
        <v>3</v>
      </c>
      <c r="N24" s="1"/>
      <c r="O24" s="1"/>
      <c r="P24" s="1"/>
      <c r="Q24" s="1"/>
      <c r="R24" s="1"/>
      <c r="S24" s="1">
        <v>47920235</v>
      </c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45">
      <c r="A26" s="2">
        <v>52</v>
      </c>
      <c r="B26" s="2">
        <f t="shared" ref="B26:G26" si="14">B40</f>
        <v>1</v>
      </c>
      <c r="C26" s="2">
        <f t="shared" si="14"/>
        <v>4</v>
      </c>
      <c r="D26" s="2">
        <f t="shared" si="14"/>
        <v>24</v>
      </c>
      <c r="E26" s="2">
        <f t="shared" si="14"/>
        <v>0</v>
      </c>
      <c r="F26" s="2" t="str">
        <f t="shared" si="14"/>
        <v>Новый раздел</v>
      </c>
      <c r="G26" s="2" t="str">
        <f t="shared" si="14"/>
        <v>Земляные работы</v>
      </c>
      <c r="H26" s="2"/>
      <c r="I26" s="2"/>
      <c r="J26" s="2"/>
      <c r="K26" s="2"/>
      <c r="L26" s="2"/>
      <c r="M26" s="2"/>
      <c r="N26" s="2"/>
      <c r="O26" s="2">
        <f t="shared" ref="O26:AT26" si="15">O40</f>
        <v>9326.6200000000008</v>
      </c>
      <c r="P26" s="2">
        <f t="shared" si="15"/>
        <v>5830.73</v>
      </c>
      <c r="Q26" s="2">
        <f t="shared" si="15"/>
        <v>1612.63</v>
      </c>
      <c r="R26" s="2">
        <f t="shared" si="15"/>
        <v>81.209999999999994</v>
      </c>
      <c r="S26" s="2">
        <f t="shared" si="15"/>
        <v>1883.26</v>
      </c>
      <c r="T26" s="2">
        <f t="shared" si="15"/>
        <v>0</v>
      </c>
      <c r="U26" s="2">
        <f t="shared" si="15"/>
        <v>245.21150999999998</v>
      </c>
      <c r="V26" s="2">
        <f t="shared" si="15"/>
        <v>8.8618149999999982</v>
      </c>
      <c r="W26" s="2">
        <f t="shared" si="15"/>
        <v>0</v>
      </c>
      <c r="X26" s="2">
        <f t="shared" si="15"/>
        <v>1936.86</v>
      </c>
      <c r="Y26" s="2">
        <f t="shared" si="15"/>
        <v>1204.22</v>
      </c>
      <c r="Z26" s="2">
        <f t="shared" si="15"/>
        <v>0</v>
      </c>
      <c r="AA26" s="2">
        <f t="shared" si="15"/>
        <v>0</v>
      </c>
      <c r="AB26" s="2">
        <f t="shared" si="15"/>
        <v>9326.6200000000008</v>
      </c>
      <c r="AC26" s="2">
        <f t="shared" si="15"/>
        <v>5830.73</v>
      </c>
      <c r="AD26" s="2">
        <f t="shared" si="15"/>
        <v>1612.63</v>
      </c>
      <c r="AE26" s="2">
        <f t="shared" si="15"/>
        <v>81.209999999999994</v>
      </c>
      <c r="AF26" s="2">
        <f t="shared" si="15"/>
        <v>1883.26</v>
      </c>
      <c r="AG26" s="2">
        <f t="shared" si="15"/>
        <v>0</v>
      </c>
      <c r="AH26" s="2">
        <f t="shared" si="15"/>
        <v>245.21150999999998</v>
      </c>
      <c r="AI26" s="2">
        <f t="shared" si="15"/>
        <v>8.8618149999999982</v>
      </c>
      <c r="AJ26" s="2">
        <f t="shared" si="15"/>
        <v>0</v>
      </c>
      <c r="AK26" s="2">
        <f t="shared" si="15"/>
        <v>1936.86</v>
      </c>
      <c r="AL26" s="2">
        <f t="shared" si="15"/>
        <v>1204.22</v>
      </c>
      <c r="AM26" s="2">
        <f t="shared" si="15"/>
        <v>0</v>
      </c>
      <c r="AN26" s="2">
        <f t="shared" si="15"/>
        <v>0</v>
      </c>
      <c r="AO26" s="2">
        <f t="shared" si="15"/>
        <v>0</v>
      </c>
      <c r="AP26" s="2">
        <f t="shared" si="15"/>
        <v>0</v>
      </c>
      <c r="AQ26" s="2">
        <f t="shared" si="15"/>
        <v>0</v>
      </c>
      <c r="AR26" s="2">
        <f t="shared" si="15"/>
        <v>12467.7</v>
      </c>
      <c r="AS26" s="2">
        <f t="shared" si="15"/>
        <v>12467.7</v>
      </c>
      <c r="AT26" s="2">
        <f t="shared" si="15"/>
        <v>0</v>
      </c>
      <c r="AU26" s="2">
        <f t="shared" ref="AU26:BZ26" si="16">AU40</f>
        <v>0</v>
      </c>
      <c r="AV26" s="2">
        <f t="shared" si="16"/>
        <v>5830.73</v>
      </c>
      <c r="AW26" s="2">
        <f t="shared" si="16"/>
        <v>5830.73</v>
      </c>
      <c r="AX26" s="2">
        <f t="shared" si="16"/>
        <v>0</v>
      </c>
      <c r="AY26" s="2">
        <f t="shared" si="16"/>
        <v>5830.73</v>
      </c>
      <c r="AZ26" s="2">
        <f t="shared" si="16"/>
        <v>0</v>
      </c>
      <c r="BA26" s="2">
        <f t="shared" si="16"/>
        <v>0</v>
      </c>
      <c r="BB26" s="2">
        <f t="shared" si="16"/>
        <v>0</v>
      </c>
      <c r="BC26" s="2">
        <f t="shared" si="16"/>
        <v>0</v>
      </c>
      <c r="BD26" s="2">
        <f t="shared" si="16"/>
        <v>1032.04</v>
      </c>
      <c r="BE26" s="2">
        <f t="shared" si="16"/>
        <v>0</v>
      </c>
      <c r="BF26" s="2">
        <f t="shared" si="16"/>
        <v>0</v>
      </c>
      <c r="BG26" s="2">
        <f t="shared" si="16"/>
        <v>0</v>
      </c>
      <c r="BH26" s="2">
        <f t="shared" si="16"/>
        <v>0</v>
      </c>
      <c r="BI26" s="2">
        <f t="shared" si="16"/>
        <v>0</v>
      </c>
      <c r="BJ26" s="2">
        <f t="shared" si="16"/>
        <v>0</v>
      </c>
      <c r="BK26" s="2">
        <f t="shared" si="16"/>
        <v>0</v>
      </c>
      <c r="BL26" s="2">
        <f t="shared" si="16"/>
        <v>0</v>
      </c>
      <c r="BM26" s="2">
        <f t="shared" si="16"/>
        <v>0</v>
      </c>
      <c r="BN26" s="2">
        <f t="shared" si="16"/>
        <v>0</v>
      </c>
      <c r="BO26" s="2">
        <f t="shared" si="16"/>
        <v>0</v>
      </c>
      <c r="BP26" s="2">
        <f t="shared" si="16"/>
        <v>0</v>
      </c>
      <c r="BQ26" s="2">
        <f t="shared" si="16"/>
        <v>0</v>
      </c>
      <c r="BR26" s="2">
        <f t="shared" si="16"/>
        <v>0</v>
      </c>
      <c r="BS26" s="2">
        <f t="shared" si="16"/>
        <v>0</v>
      </c>
      <c r="BT26" s="2">
        <f t="shared" si="16"/>
        <v>0</v>
      </c>
      <c r="BU26" s="2">
        <f t="shared" si="16"/>
        <v>0</v>
      </c>
      <c r="BV26" s="2">
        <f t="shared" si="16"/>
        <v>0</v>
      </c>
      <c r="BW26" s="2">
        <f t="shared" si="16"/>
        <v>0</v>
      </c>
      <c r="BX26" s="2">
        <f t="shared" si="16"/>
        <v>0</v>
      </c>
      <c r="BY26" s="2">
        <f t="shared" si="16"/>
        <v>0</v>
      </c>
      <c r="BZ26" s="2">
        <f t="shared" si="16"/>
        <v>0</v>
      </c>
      <c r="CA26" s="2">
        <f t="shared" ref="CA26:DF26" si="17">CA40</f>
        <v>12467.7</v>
      </c>
      <c r="CB26" s="2">
        <f t="shared" si="17"/>
        <v>12467.7</v>
      </c>
      <c r="CC26" s="2">
        <f t="shared" si="17"/>
        <v>0</v>
      </c>
      <c r="CD26" s="2">
        <f t="shared" si="17"/>
        <v>0</v>
      </c>
      <c r="CE26" s="2">
        <f t="shared" si="17"/>
        <v>5830.73</v>
      </c>
      <c r="CF26" s="2">
        <f t="shared" si="17"/>
        <v>5830.73</v>
      </c>
      <c r="CG26" s="2">
        <f t="shared" si="17"/>
        <v>0</v>
      </c>
      <c r="CH26" s="2">
        <f t="shared" si="17"/>
        <v>5830.73</v>
      </c>
      <c r="CI26" s="2">
        <f t="shared" si="17"/>
        <v>0</v>
      </c>
      <c r="CJ26" s="2">
        <f t="shared" si="17"/>
        <v>0</v>
      </c>
      <c r="CK26" s="2">
        <f t="shared" si="17"/>
        <v>0</v>
      </c>
      <c r="CL26" s="2">
        <f t="shared" si="17"/>
        <v>0</v>
      </c>
      <c r="CM26" s="2">
        <f t="shared" si="17"/>
        <v>1032.04</v>
      </c>
      <c r="CN26" s="2">
        <f t="shared" si="17"/>
        <v>0</v>
      </c>
      <c r="CO26" s="2">
        <f t="shared" si="17"/>
        <v>0</v>
      </c>
      <c r="CP26" s="2">
        <f t="shared" si="17"/>
        <v>0</v>
      </c>
      <c r="CQ26" s="2">
        <f t="shared" si="17"/>
        <v>0</v>
      </c>
      <c r="CR26" s="2">
        <f t="shared" si="17"/>
        <v>0</v>
      </c>
      <c r="CS26" s="2">
        <f t="shared" si="17"/>
        <v>0</v>
      </c>
      <c r="CT26" s="2">
        <f t="shared" si="17"/>
        <v>0</v>
      </c>
      <c r="CU26" s="2">
        <f t="shared" si="17"/>
        <v>0</v>
      </c>
      <c r="CV26" s="2">
        <f t="shared" si="17"/>
        <v>0</v>
      </c>
      <c r="CW26" s="2">
        <f t="shared" si="17"/>
        <v>0</v>
      </c>
      <c r="CX26" s="2">
        <f t="shared" si="17"/>
        <v>0</v>
      </c>
      <c r="CY26" s="2">
        <f t="shared" si="17"/>
        <v>0</v>
      </c>
      <c r="CZ26" s="2">
        <f t="shared" si="17"/>
        <v>0</v>
      </c>
      <c r="DA26" s="2">
        <f t="shared" si="17"/>
        <v>0</v>
      </c>
      <c r="DB26" s="2">
        <f t="shared" si="17"/>
        <v>0</v>
      </c>
      <c r="DC26" s="2">
        <f t="shared" si="17"/>
        <v>0</v>
      </c>
      <c r="DD26" s="2">
        <f t="shared" si="17"/>
        <v>0</v>
      </c>
      <c r="DE26" s="2">
        <f t="shared" si="17"/>
        <v>0</v>
      </c>
      <c r="DF26" s="2">
        <f t="shared" si="17"/>
        <v>0</v>
      </c>
      <c r="DG26" s="3">
        <f t="shared" ref="DG26:EL26" si="18">DG40</f>
        <v>0</v>
      </c>
      <c r="DH26" s="3">
        <f t="shared" si="18"/>
        <v>0</v>
      </c>
      <c r="DI26" s="3">
        <f t="shared" si="18"/>
        <v>0</v>
      </c>
      <c r="DJ26" s="3">
        <f t="shared" si="18"/>
        <v>0</v>
      </c>
      <c r="DK26" s="3">
        <f t="shared" si="18"/>
        <v>0</v>
      </c>
      <c r="DL26" s="3">
        <f t="shared" si="18"/>
        <v>0</v>
      </c>
      <c r="DM26" s="3">
        <f t="shared" si="18"/>
        <v>0</v>
      </c>
      <c r="DN26" s="3">
        <f t="shared" si="18"/>
        <v>0</v>
      </c>
      <c r="DO26" s="3">
        <f t="shared" si="18"/>
        <v>0</v>
      </c>
      <c r="DP26" s="3">
        <f t="shared" si="18"/>
        <v>0</v>
      </c>
      <c r="DQ26" s="3">
        <f t="shared" si="18"/>
        <v>0</v>
      </c>
      <c r="DR26" s="3">
        <f t="shared" si="18"/>
        <v>0</v>
      </c>
      <c r="DS26" s="3">
        <f t="shared" si="18"/>
        <v>0</v>
      </c>
      <c r="DT26" s="3">
        <f t="shared" si="18"/>
        <v>0</v>
      </c>
      <c r="DU26" s="3">
        <f t="shared" si="18"/>
        <v>0</v>
      </c>
      <c r="DV26" s="3">
        <f t="shared" si="18"/>
        <v>0</v>
      </c>
      <c r="DW26" s="3">
        <f t="shared" si="18"/>
        <v>0</v>
      </c>
      <c r="DX26" s="3">
        <f t="shared" si="18"/>
        <v>0</v>
      </c>
      <c r="DY26" s="3">
        <f t="shared" si="18"/>
        <v>0</v>
      </c>
      <c r="DZ26" s="3">
        <f t="shared" si="18"/>
        <v>0</v>
      </c>
      <c r="EA26" s="3">
        <f t="shared" si="18"/>
        <v>0</v>
      </c>
      <c r="EB26" s="3">
        <f t="shared" si="18"/>
        <v>0</v>
      </c>
      <c r="EC26" s="3">
        <f t="shared" si="18"/>
        <v>0</v>
      </c>
      <c r="ED26" s="3">
        <f t="shared" si="18"/>
        <v>0</v>
      </c>
      <c r="EE26" s="3">
        <f t="shared" si="18"/>
        <v>0</v>
      </c>
      <c r="EF26" s="3">
        <f t="shared" si="18"/>
        <v>0</v>
      </c>
      <c r="EG26" s="3">
        <f t="shared" si="18"/>
        <v>0</v>
      </c>
      <c r="EH26" s="3">
        <f t="shared" si="18"/>
        <v>0</v>
      </c>
      <c r="EI26" s="3">
        <f t="shared" si="18"/>
        <v>0</v>
      </c>
      <c r="EJ26" s="3">
        <f t="shared" si="18"/>
        <v>0</v>
      </c>
      <c r="EK26" s="3">
        <f t="shared" si="18"/>
        <v>0</v>
      </c>
      <c r="EL26" s="3">
        <f t="shared" si="18"/>
        <v>0</v>
      </c>
      <c r="EM26" s="3">
        <f t="shared" ref="EM26:FR26" si="19">EM40</f>
        <v>0</v>
      </c>
      <c r="EN26" s="3">
        <f t="shared" si="19"/>
        <v>0</v>
      </c>
      <c r="EO26" s="3">
        <f t="shared" si="19"/>
        <v>0</v>
      </c>
      <c r="EP26" s="3">
        <f t="shared" si="19"/>
        <v>0</v>
      </c>
      <c r="EQ26" s="3">
        <f t="shared" si="19"/>
        <v>0</v>
      </c>
      <c r="ER26" s="3">
        <f t="shared" si="19"/>
        <v>0</v>
      </c>
      <c r="ES26" s="3">
        <f t="shared" si="19"/>
        <v>0</v>
      </c>
      <c r="ET26" s="3">
        <f t="shared" si="19"/>
        <v>0</v>
      </c>
      <c r="EU26" s="3">
        <f t="shared" si="19"/>
        <v>0</v>
      </c>
      <c r="EV26" s="3">
        <f t="shared" si="19"/>
        <v>0</v>
      </c>
      <c r="EW26" s="3">
        <f t="shared" si="19"/>
        <v>0</v>
      </c>
      <c r="EX26" s="3">
        <f t="shared" si="19"/>
        <v>0</v>
      </c>
      <c r="EY26" s="3">
        <f t="shared" si="19"/>
        <v>0</v>
      </c>
      <c r="EZ26" s="3">
        <f t="shared" si="19"/>
        <v>0</v>
      </c>
      <c r="FA26" s="3">
        <f t="shared" si="19"/>
        <v>0</v>
      </c>
      <c r="FB26" s="3">
        <f t="shared" si="19"/>
        <v>0</v>
      </c>
      <c r="FC26" s="3">
        <f t="shared" si="19"/>
        <v>0</v>
      </c>
      <c r="FD26" s="3">
        <f t="shared" si="19"/>
        <v>0</v>
      </c>
      <c r="FE26" s="3">
        <f t="shared" si="19"/>
        <v>0</v>
      </c>
      <c r="FF26" s="3">
        <f t="shared" si="19"/>
        <v>0</v>
      </c>
      <c r="FG26" s="3">
        <f t="shared" si="19"/>
        <v>0</v>
      </c>
      <c r="FH26" s="3">
        <f t="shared" si="19"/>
        <v>0</v>
      </c>
      <c r="FI26" s="3">
        <f t="shared" si="19"/>
        <v>0</v>
      </c>
      <c r="FJ26" s="3">
        <f t="shared" si="19"/>
        <v>0</v>
      </c>
      <c r="FK26" s="3">
        <f t="shared" si="19"/>
        <v>0</v>
      </c>
      <c r="FL26" s="3">
        <f t="shared" si="19"/>
        <v>0</v>
      </c>
      <c r="FM26" s="3">
        <f t="shared" si="19"/>
        <v>0</v>
      </c>
      <c r="FN26" s="3">
        <f t="shared" si="19"/>
        <v>0</v>
      </c>
      <c r="FO26" s="3">
        <f t="shared" si="19"/>
        <v>0</v>
      </c>
      <c r="FP26" s="3">
        <f t="shared" si="19"/>
        <v>0</v>
      </c>
      <c r="FQ26" s="3">
        <f t="shared" si="19"/>
        <v>0</v>
      </c>
      <c r="FR26" s="3">
        <f t="shared" si="19"/>
        <v>0</v>
      </c>
      <c r="FS26" s="3">
        <f t="shared" ref="FS26:GX26" si="20">FS40</f>
        <v>0</v>
      </c>
      <c r="FT26" s="3">
        <f t="shared" si="20"/>
        <v>0</v>
      </c>
      <c r="FU26" s="3">
        <f t="shared" si="20"/>
        <v>0</v>
      </c>
      <c r="FV26" s="3">
        <f t="shared" si="20"/>
        <v>0</v>
      </c>
      <c r="FW26" s="3">
        <f t="shared" si="20"/>
        <v>0</v>
      </c>
      <c r="FX26" s="3">
        <f t="shared" si="20"/>
        <v>0</v>
      </c>
      <c r="FY26" s="3">
        <f t="shared" si="20"/>
        <v>0</v>
      </c>
      <c r="FZ26" s="3">
        <f t="shared" si="20"/>
        <v>0</v>
      </c>
      <c r="GA26" s="3">
        <f t="shared" si="20"/>
        <v>0</v>
      </c>
      <c r="GB26" s="3">
        <f t="shared" si="20"/>
        <v>0</v>
      </c>
      <c r="GC26" s="3">
        <f t="shared" si="20"/>
        <v>0</v>
      </c>
      <c r="GD26" s="3">
        <f t="shared" si="20"/>
        <v>0</v>
      </c>
      <c r="GE26" s="3">
        <f t="shared" si="20"/>
        <v>0</v>
      </c>
      <c r="GF26" s="3">
        <f t="shared" si="20"/>
        <v>0</v>
      </c>
      <c r="GG26" s="3">
        <f t="shared" si="20"/>
        <v>0</v>
      </c>
      <c r="GH26" s="3">
        <f t="shared" si="20"/>
        <v>0</v>
      </c>
      <c r="GI26" s="3">
        <f t="shared" si="20"/>
        <v>0</v>
      </c>
      <c r="GJ26" s="3">
        <f t="shared" si="20"/>
        <v>0</v>
      </c>
      <c r="GK26" s="3">
        <f t="shared" si="20"/>
        <v>0</v>
      </c>
      <c r="GL26" s="3">
        <f t="shared" si="20"/>
        <v>0</v>
      </c>
      <c r="GM26" s="3">
        <f t="shared" si="20"/>
        <v>0</v>
      </c>
      <c r="GN26" s="3">
        <f t="shared" si="20"/>
        <v>0</v>
      </c>
      <c r="GO26" s="3">
        <f t="shared" si="20"/>
        <v>0</v>
      </c>
      <c r="GP26" s="3">
        <f t="shared" si="20"/>
        <v>0</v>
      </c>
      <c r="GQ26" s="3">
        <f t="shared" si="20"/>
        <v>0</v>
      </c>
      <c r="GR26" s="3">
        <f t="shared" si="20"/>
        <v>0</v>
      </c>
      <c r="GS26" s="3">
        <f t="shared" si="20"/>
        <v>0</v>
      </c>
      <c r="GT26" s="3">
        <f t="shared" si="20"/>
        <v>0</v>
      </c>
      <c r="GU26" s="3">
        <f t="shared" si="20"/>
        <v>0</v>
      </c>
      <c r="GV26" s="3">
        <f t="shared" si="20"/>
        <v>0</v>
      </c>
      <c r="GW26" s="3">
        <f t="shared" si="20"/>
        <v>0</v>
      </c>
      <c r="GX26" s="3">
        <f t="shared" si="20"/>
        <v>0</v>
      </c>
    </row>
    <row r="28" spans="1:245">
      <c r="A28">
        <v>17</v>
      </c>
      <c r="B28">
        <v>1</v>
      </c>
      <c r="C28">
        <f>ROW(SmtRes!A2)</f>
        <v>2</v>
      </c>
      <c r="D28">
        <f>ROW(EtalonRes!A2)</f>
        <v>2</v>
      </c>
      <c r="E28" t="s">
        <v>15</v>
      </c>
      <c r="F28" t="s">
        <v>16</v>
      </c>
      <c r="G28" t="s">
        <v>17</v>
      </c>
      <c r="H28" t="s">
        <v>18</v>
      </c>
      <c r="I28">
        <f>ROUND(1/100,7)</f>
        <v>0.01</v>
      </c>
      <c r="J28">
        <v>0</v>
      </c>
      <c r="K28">
        <f>ROUND(1/100,7)</f>
        <v>0.01</v>
      </c>
      <c r="O28">
        <f t="shared" ref="O28:O38" si="21">ROUND(CP28,2)</f>
        <v>29.29</v>
      </c>
      <c r="P28">
        <f t="shared" ref="P28:P38" si="22">ROUND(CQ28*I28,2)</f>
        <v>0</v>
      </c>
      <c r="Q28">
        <f t="shared" ref="Q28:Q38" si="23">ROUND(CR28*I28,2)</f>
        <v>0</v>
      </c>
      <c r="R28">
        <f t="shared" ref="R28:R38" si="24">ROUND(CS28*I28,2)</f>
        <v>0</v>
      </c>
      <c r="S28">
        <f t="shared" ref="S28:S38" si="25">ROUND(CT28*I28,2)</f>
        <v>29.29</v>
      </c>
      <c r="T28">
        <f t="shared" ref="T28:T38" si="26">ROUND(CU28*I28,2)</f>
        <v>0</v>
      </c>
      <c r="U28">
        <f t="shared" ref="U28:U38" si="27">CV28*I28</f>
        <v>3.8639999999999999</v>
      </c>
      <c r="V28">
        <f t="shared" ref="V28:V38" si="28">CW28*I28</f>
        <v>0</v>
      </c>
      <c r="W28">
        <f t="shared" ref="W28:W38" si="29">ROUND(CX28*I28,2)</f>
        <v>0</v>
      </c>
      <c r="X28">
        <f t="shared" ref="X28:X38" si="30">ROUND(CY28,2)</f>
        <v>26.07</v>
      </c>
      <c r="Y28">
        <f t="shared" ref="Y28:Y38" si="31">ROUND(CZ28,2)</f>
        <v>11.72</v>
      </c>
      <c r="AA28">
        <v>47920234</v>
      </c>
      <c r="AB28">
        <f t="shared" ref="AB28:AB38" si="32">ROUND((AC28+AD28+AF28),2)</f>
        <v>2928.91</v>
      </c>
      <c r="AC28">
        <f t="shared" ref="AC28:AC38" si="33">ROUND((ES28),2)</f>
        <v>0</v>
      </c>
      <c r="AD28">
        <f t="shared" ref="AD28:AD33" si="34">ROUND(((((ET28*ROUND((1.2*1.15),7)))-((EU28*ROUND((1.2*1.15),7))))+AE28),2)</f>
        <v>0</v>
      </c>
      <c r="AE28">
        <f t="shared" ref="AE28:AF33" si="35">ROUND(((EU28*ROUND((1.2*1.15),7))),2)</f>
        <v>0</v>
      </c>
      <c r="AF28">
        <f t="shared" si="35"/>
        <v>2928.91</v>
      </c>
      <c r="AG28">
        <f t="shared" ref="AG28:AG38" si="36">ROUND((AP28),2)</f>
        <v>0</v>
      </c>
      <c r="AH28">
        <f t="shared" ref="AH28:AI33" si="37">((EW28*ROUND((1.2*1.15),7)))</f>
        <v>386.4</v>
      </c>
      <c r="AI28">
        <f t="shared" si="37"/>
        <v>0</v>
      </c>
      <c r="AJ28">
        <f t="shared" ref="AJ28:AJ38" si="38">(AS28)</f>
        <v>0</v>
      </c>
      <c r="AK28">
        <v>2122.4</v>
      </c>
      <c r="AL28">
        <v>0</v>
      </c>
      <c r="AM28">
        <v>0</v>
      </c>
      <c r="AN28">
        <v>0</v>
      </c>
      <c r="AO28">
        <v>2122.4</v>
      </c>
      <c r="AP28">
        <v>0</v>
      </c>
      <c r="AQ28">
        <v>280</v>
      </c>
      <c r="AR28">
        <v>0</v>
      </c>
      <c r="AS28">
        <v>0</v>
      </c>
      <c r="AT28">
        <v>89</v>
      </c>
      <c r="AU28">
        <v>40</v>
      </c>
      <c r="AV28">
        <v>1</v>
      </c>
      <c r="AW28">
        <v>1</v>
      </c>
      <c r="AZ28">
        <v>1</v>
      </c>
      <c r="BA28">
        <v>28.93</v>
      </c>
      <c r="BB28">
        <v>1</v>
      </c>
      <c r="BC28">
        <v>1</v>
      </c>
      <c r="BD28" t="s">
        <v>3</v>
      </c>
      <c r="BE28" t="s">
        <v>3</v>
      </c>
      <c r="BF28" t="s">
        <v>3</v>
      </c>
      <c r="BG28" t="s">
        <v>3</v>
      </c>
      <c r="BH28">
        <v>0</v>
      </c>
      <c r="BI28">
        <v>1</v>
      </c>
      <c r="BJ28" t="s">
        <v>19</v>
      </c>
      <c r="BM28">
        <v>1003</v>
      </c>
      <c r="BN28">
        <v>0</v>
      </c>
      <c r="BO28" t="s">
        <v>3</v>
      </c>
      <c r="BP28">
        <v>0</v>
      </c>
      <c r="BQ28">
        <v>2</v>
      </c>
      <c r="BR28">
        <v>0</v>
      </c>
      <c r="BS28">
        <v>28.93</v>
      </c>
      <c r="BT28">
        <v>1</v>
      </c>
      <c r="BU28">
        <v>1</v>
      </c>
      <c r="BV28">
        <v>1</v>
      </c>
      <c r="BW28">
        <v>1</v>
      </c>
      <c r="BX28">
        <v>1</v>
      </c>
      <c r="BY28" t="s">
        <v>3</v>
      </c>
      <c r="BZ28">
        <v>89</v>
      </c>
      <c r="CA28">
        <v>40</v>
      </c>
      <c r="CB28" t="s">
        <v>3</v>
      </c>
      <c r="CE28">
        <v>0</v>
      </c>
      <c r="CF28">
        <v>0</v>
      </c>
      <c r="CG28">
        <v>0</v>
      </c>
      <c r="CM28">
        <v>0</v>
      </c>
      <c r="CN28" t="s">
        <v>3</v>
      </c>
      <c r="CO28">
        <v>0</v>
      </c>
      <c r="CP28">
        <f t="shared" ref="CP28:CP38" si="39">(P28+Q28+S28)</f>
        <v>29.29</v>
      </c>
      <c r="CQ28">
        <f t="shared" ref="CQ28:CQ38" si="40">AC28*BC28</f>
        <v>0</v>
      </c>
      <c r="CR28">
        <f t="shared" ref="CR28:CR38" si="41">AD28*BB28</f>
        <v>0</v>
      </c>
      <c r="CS28">
        <f t="shared" ref="CS28:CS38" si="42">AE28</f>
        <v>0</v>
      </c>
      <c r="CT28">
        <f t="shared" ref="CT28:CT38" si="43">AF28</f>
        <v>2928.91</v>
      </c>
      <c r="CU28">
        <f t="shared" ref="CU28:CU38" si="44">AG28</f>
        <v>0</v>
      </c>
      <c r="CV28">
        <f t="shared" ref="CV28:CV38" si="45">AH28</f>
        <v>386.4</v>
      </c>
      <c r="CW28">
        <f t="shared" ref="CW28:CW38" si="46">AI28</f>
        <v>0</v>
      </c>
      <c r="CX28">
        <f t="shared" ref="CX28:CX38" si="47">AJ28</f>
        <v>0</v>
      </c>
      <c r="CY28">
        <f t="shared" ref="CY28:CY38" si="48">(((S28+R28)*AT28)/100)</f>
        <v>26.068100000000001</v>
      </c>
      <c r="CZ28">
        <f t="shared" ref="CZ28:CZ38" si="49">(((S28+R28)*AU28)/100)</f>
        <v>11.715999999999999</v>
      </c>
      <c r="DC28" t="s">
        <v>3</v>
      </c>
      <c r="DD28" t="s">
        <v>3</v>
      </c>
      <c r="DE28" t="s">
        <v>20</v>
      </c>
      <c r="DF28" t="s">
        <v>20</v>
      </c>
      <c r="DG28" t="s">
        <v>20</v>
      </c>
      <c r="DH28" t="s">
        <v>3</v>
      </c>
      <c r="DI28" t="s">
        <v>20</v>
      </c>
      <c r="DJ28" t="s">
        <v>20</v>
      </c>
      <c r="DK28" t="s">
        <v>3</v>
      </c>
      <c r="DL28" t="s">
        <v>3</v>
      </c>
      <c r="DM28" t="s">
        <v>3</v>
      </c>
      <c r="DN28">
        <v>0</v>
      </c>
      <c r="DO28">
        <v>0</v>
      </c>
      <c r="DP28">
        <v>1</v>
      </c>
      <c r="DQ28">
        <v>1</v>
      </c>
      <c r="DU28">
        <v>1013</v>
      </c>
      <c r="DV28" t="s">
        <v>18</v>
      </c>
      <c r="DW28" t="s">
        <v>18</v>
      </c>
      <c r="DX28">
        <v>1</v>
      </c>
      <c r="DZ28" t="s">
        <v>3</v>
      </c>
      <c r="EA28" t="s">
        <v>3</v>
      </c>
      <c r="EB28" t="s">
        <v>3</v>
      </c>
      <c r="EC28" t="s">
        <v>3</v>
      </c>
      <c r="EE28">
        <v>41328264</v>
      </c>
      <c r="EF28">
        <v>2</v>
      </c>
      <c r="EG28" t="s">
        <v>21</v>
      </c>
      <c r="EH28">
        <v>1</v>
      </c>
      <c r="EI28" t="s">
        <v>14</v>
      </c>
      <c r="EJ28">
        <v>1</v>
      </c>
      <c r="EK28">
        <v>1003</v>
      </c>
      <c r="EL28" t="s">
        <v>22</v>
      </c>
      <c r="EM28" t="s">
        <v>23</v>
      </c>
      <c r="EO28" t="s">
        <v>3</v>
      </c>
      <c r="EQ28">
        <v>131072</v>
      </c>
      <c r="ER28">
        <v>2122.4</v>
      </c>
      <c r="ES28">
        <v>0</v>
      </c>
      <c r="ET28">
        <v>0</v>
      </c>
      <c r="EU28">
        <v>0</v>
      </c>
      <c r="EV28">
        <v>2122.4</v>
      </c>
      <c r="EW28">
        <v>280</v>
      </c>
      <c r="EX28">
        <v>0</v>
      </c>
      <c r="EY28">
        <v>0</v>
      </c>
      <c r="FQ28">
        <v>0</v>
      </c>
      <c r="FR28">
        <f t="shared" ref="FR28:FR38" si="50">ROUND(IF(AND(BH28=3,BI28=3),P28,0),2)</f>
        <v>0</v>
      </c>
      <c r="FS28">
        <v>0</v>
      </c>
      <c r="FX28">
        <v>89</v>
      </c>
      <c r="FY28">
        <v>40</v>
      </c>
      <c r="GA28" t="s">
        <v>3</v>
      </c>
      <c r="GD28">
        <v>1</v>
      </c>
      <c r="GF28">
        <v>1288361675</v>
      </c>
      <c r="GG28">
        <v>2</v>
      </c>
      <c r="GH28">
        <v>1</v>
      </c>
      <c r="GI28">
        <v>4</v>
      </c>
      <c r="GJ28">
        <v>0</v>
      </c>
      <c r="GK28">
        <v>0</v>
      </c>
      <c r="GL28">
        <f t="shared" ref="GL28:GL38" si="51">ROUND(IF(AND(BH28=3,BI28=3,FS28&lt;&gt;0),P28,0),2)</f>
        <v>0</v>
      </c>
      <c r="GM28">
        <f t="shared" ref="GM28:GM38" si="52">ROUND(O28+X28+Y28,2)+GX28</f>
        <v>67.08</v>
      </c>
      <c r="GN28">
        <f t="shared" ref="GN28:GN38" si="53">IF(OR(BI28=0,BI28=1),ROUND(O28+X28+Y28,2),0)</f>
        <v>67.08</v>
      </c>
      <c r="GO28">
        <f t="shared" ref="GO28:GO38" si="54">IF(BI28=2,ROUND(O28+X28+Y28,2),0)</f>
        <v>0</v>
      </c>
      <c r="GP28">
        <f t="shared" ref="GP28:GP38" si="55">IF(BI28=4,ROUND(O28+X28+Y28,2)+GX28,0)</f>
        <v>0</v>
      </c>
      <c r="GR28">
        <v>0</v>
      </c>
      <c r="GS28">
        <v>0</v>
      </c>
      <c r="GT28">
        <v>0</v>
      </c>
      <c r="GU28" t="s">
        <v>3</v>
      </c>
      <c r="GV28">
        <f t="shared" ref="GV28:GV38" si="56">ROUND((GT28),2)</f>
        <v>0</v>
      </c>
      <c r="GW28">
        <v>1</v>
      </c>
      <c r="GX28">
        <f t="shared" ref="GX28:GX38" si="57">ROUND(HC28*I28,2)</f>
        <v>0</v>
      </c>
      <c r="HA28">
        <v>0</v>
      </c>
      <c r="HB28">
        <v>0</v>
      </c>
      <c r="HC28">
        <f t="shared" ref="HC28:HC38" si="58">GV28*GW28</f>
        <v>0</v>
      </c>
      <c r="HE28" t="s">
        <v>3</v>
      </c>
      <c r="HF28" t="s">
        <v>3</v>
      </c>
      <c r="HI28">
        <f t="shared" ref="HI28:HI38" si="59">ROUND(R28*BS28,2)</f>
        <v>0</v>
      </c>
      <c r="HJ28">
        <f t="shared" ref="HJ28:HJ38" si="60">ROUND(S28*BA28,2)</f>
        <v>847.36</v>
      </c>
      <c r="HK28">
        <f t="shared" ref="HK28:HK38" si="61">ROUND((((HJ28+HI28)*AT28)/100),2)</f>
        <v>754.15</v>
      </c>
      <c r="HL28">
        <f t="shared" ref="HL28:HL38" si="62">ROUND((((HJ28+HI28)*AU28)/100),2)</f>
        <v>338.94</v>
      </c>
      <c r="HM28" t="s">
        <v>3</v>
      </c>
      <c r="HN28" t="s">
        <v>24</v>
      </c>
      <c r="HO28" t="s">
        <v>25</v>
      </c>
      <c r="HP28" t="s">
        <v>22</v>
      </c>
      <c r="HQ28" t="s">
        <v>22</v>
      </c>
      <c r="IK28">
        <v>0</v>
      </c>
    </row>
    <row r="29" spans="1:245">
      <c r="A29">
        <v>17</v>
      </c>
      <c r="B29">
        <v>1</v>
      </c>
      <c r="C29">
        <f>ROW(SmtRes!A4)</f>
        <v>4</v>
      </c>
      <c r="D29">
        <f>ROW(EtalonRes!A4)</f>
        <v>4</v>
      </c>
      <c r="E29" t="s">
        <v>26</v>
      </c>
      <c r="F29" t="s">
        <v>27</v>
      </c>
      <c r="G29" t="s">
        <v>28</v>
      </c>
      <c r="H29" t="s">
        <v>18</v>
      </c>
      <c r="I29">
        <f>ROUND(1/100,7)</f>
        <v>0.01</v>
      </c>
      <c r="J29">
        <v>0</v>
      </c>
      <c r="K29">
        <f>ROUND(1/100,7)</f>
        <v>0.01</v>
      </c>
      <c r="O29">
        <f t="shared" si="21"/>
        <v>8.9</v>
      </c>
      <c r="P29">
        <f t="shared" si="22"/>
        <v>0</v>
      </c>
      <c r="Q29">
        <f t="shared" si="23"/>
        <v>0</v>
      </c>
      <c r="R29">
        <f t="shared" si="24"/>
        <v>0</v>
      </c>
      <c r="S29">
        <f t="shared" si="25"/>
        <v>8.9</v>
      </c>
      <c r="T29">
        <f t="shared" si="26"/>
        <v>0</v>
      </c>
      <c r="U29">
        <f t="shared" si="27"/>
        <v>1.2213000000000001</v>
      </c>
      <c r="V29">
        <f t="shared" si="28"/>
        <v>0</v>
      </c>
      <c r="W29">
        <f t="shared" si="29"/>
        <v>0</v>
      </c>
      <c r="X29">
        <f t="shared" si="30"/>
        <v>7.92</v>
      </c>
      <c r="Y29">
        <f t="shared" si="31"/>
        <v>3.56</v>
      </c>
      <c r="AA29">
        <v>47920234</v>
      </c>
      <c r="AB29">
        <f t="shared" si="32"/>
        <v>890.33</v>
      </c>
      <c r="AC29">
        <f t="shared" si="33"/>
        <v>0</v>
      </c>
      <c r="AD29">
        <f t="shared" si="34"/>
        <v>0</v>
      </c>
      <c r="AE29">
        <f t="shared" si="35"/>
        <v>0</v>
      </c>
      <c r="AF29">
        <f t="shared" si="35"/>
        <v>890.33</v>
      </c>
      <c r="AG29">
        <f t="shared" si="36"/>
        <v>0</v>
      </c>
      <c r="AH29">
        <f t="shared" si="37"/>
        <v>122.13</v>
      </c>
      <c r="AI29">
        <f t="shared" si="37"/>
        <v>0</v>
      </c>
      <c r="AJ29">
        <f t="shared" si="38"/>
        <v>0</v>
      </c>
      <c r="AK29">
        <v>645.16999999999996</v>
      </c>
      <c r="AL29">
        <v>0</v>
      </c>
      <c r="AM29">
        <v>0</v>
      </c>
      <c r="AN29">
        <v>0</v>
      </c>
      <c r="AO29">
        <v>645.16999999999996</v>
      </c>
      <c r="AP29">
        <v>0</v>
      </c>
      <c r="AQ29">
        <v>88.5</v>
      </c>
      <c r="AR29">
        <v>0</v>
      </c>
      <c r="AS29">
        <v>0</v>
      </c>
      <c r="AT29">
        <v>89</v>
      </c>
      <c r="AU29">
        <v>40</v>
      </c>
      <c r="AV29">
        <v>1</v>
      </c>
      <c r="AW29">
        <v>1</v>
      </c>
      <c r="AZ29">
        <v>1</v>
      </c>
      <c r="BA29">
        <v>28.93</v>
      </c>
      <c r="BB29">
        <v>1</v>
      </c>
      <c r="BC29">
        <v>1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29</v>
      </c>
      <c r="BM29">
        <v>1003</v>
      </c>
      <c r="BN29">
        <v>0</v>
      </c>
      <c r="BO29" t="s">
        <v>3</v>
      </c>
      <c r="BP29">
        <v>0</v>
      </c>
      <c r="BQ29">
        <v>2</v>
      </c>
      <c r="BR29">
        <v>0</v>
      </c>
      <c r="BS29">
        <v>28.93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89</v>
      </c>
      <c r="CA29">
        <v>40</v>
      </c>
      <c r="CB29" t="s">
        <v>3</v>
      </c>
      <c r="CE29">
        <v>0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9"/>
        <v>8.9</v>
      </c>
      <c r="CQ29">
        <f t="shared" si="40"/>
        <v>0</v>
      </c>
      <c r="CR29">
        <f t="shared" si="41"/>
        <v>0</v>
      </c>
      <c r="CS29">
        <f t="shared" si="42"/>
        <v>0</v>
      </c>
      <c r="CT29">
        <f t="shared" si="43"/>
        <v>890.33</v>
      </c>
      <c r="CU29">
        <f t="shared" si="44"/>
        <v>0</v>
      </c>
      <c r="CV29">
        <f t="shared" si="45"/>
        <v>122.13</v>
      </c>
      <c r="CW29">
        <f t="shared" si="46"/>
        <v>0</v>
      </c>
      <c r="CX29">
        <f t="shared" si="47"/>
        <v>0</v>
      </c>
      <c r="CY29">
        <f t="shared" si="48"/>
        <v>7.9210000000000003</v>
      </c>
      <c r="CZ29">
        <f t="shared" si="49"/>
        <v>3.56</v>
      </c>
      <c r="DC29" t="s">
        <v>3</v>
      </c>
      <c r="DD29" t="s">
        <v>3</v>
      </c>
      <c r="DE29" t="s">
        <v>20</v>
      </c>
      <c r="DF29" t="s">
        <v>20</v>
      </c>
      <c r="DG29" t="s">
        <v>20</v>
      </c>
      <c r="DH29" t="s">
        <v>3</v>
      </c>
      <c r="DI29" t="s">
        <v>20</v>
      </c>
      <c r="DJ29" t="s">
        <v>20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18</v>
      </c>
      <c r="DW29" t="s">
        <v>18</v>
      </c>
      <c r="DX29">
        <v>1</v>
      </c>
      <c r="DZ29" t="s">
        <v>3</v>
      </c>
      <c r="EA29" t="s">
        <v>3</v>
      </c>
      <c r="EB29" t="s">
        <v>3</v>
      </c>
      <c r="EC29" t="s">
        <v>3</v>
      </c>
      <c r="EE29">
        <v>41328264</v>
      </c>
      <c r="EF29">
        <v>2</v>
      </c>
      <c r="EG29" t="s">
        <v>21</v>
      </c>
      <c r="EH29">
        <v>1</v>
      </c>
      <c r="EI29" t="s">
        <v>14</v>
      </c>
      <c r="EJ29">
        <v>1</v>
      </c>
      <c r="EK29">
        <v>1003</v>
      </c>
      <c r="EL29" t="s">
        <v>22</v>
      </c>
      <c r="EM29" t="s">
        <v>23</v>
      </c>
      <c r="EO29" t="s">
        <v>3</v>
      </c>
      <c r="EQ29">
        <v>131072</v>
      </c>
      <c r="ER29">
        <v>645.16999999999996</v>
      </c>
      <c r="ES29">
        <v>0</v>
      </c>
      <c r="ET29">
        <v>0</v>
      </c>
      <c r="EU29">
        <v>0</v>
      </c>
      <c r="EV29">
        <v>645.16999999999996</v>
      </c>
      <c r="EW29">
        <v>88.5</v>
      </c>
      <c r="EX29">
        <v>0</v>
      </c>
      <c r="EY29">
        <v>0</v>
      </c>
      <c r="FQ29">
        <v>0</v>
      </c>
      <c r="FR29">
        <f t="shared" si="50"/>
        <v>0</v>
      </c>
      <c r="FS29">
        <v>0</v>
      </c>
      <c r="FX29">
        <v>89</v>
      </c>
      <c r="FY29">
        <v>40</v>
      </c>
      <c r="GA29" t="s">
        <v>3</v>
      </c>
      <c r="GD29">
        <v>1</v>
      </c>
      <c r="GF29">
        <v>-736900731</v>
      </c>
      <c r="GG29">
        <v>2</v>
      </c>
      <c r="GH29">
        <v>1</v>
      </c>
      <c r="GI29">
        <v>4</v>
      </c>
      <c r="GJ29">
        <v>0</v>
      </c>
      <c r="GK29">
        <v>0</v>
      </c>
      <c r="GL29">
        <f t="shared" si="51"/>
        <v>0</v>
      </c>
      <c r="GM29">
        <f t="shared" si="52"/>
        <v>20.38</v>
      </c>
      <c r="GN29">
        <f t="shared" si="53"/>
        <v>20.38</v>
      </c>
      <c r="GO29">
        <f t="shared" si="54"/>
        <v>0</v>
      </c>
      <c r="GP29">
        <f t="shared" si="55"/>
        <v>0</v>
      </c>
      <c r="GR29">
        <v>0</v>
      </c>
      <c r="GS29">
        <v>0</v>
      </c>
      <c r="GT29">
        <v>0</v>
      </c>
      <c r="GU29" t="s">
        <v>3</v>
      </c>
      <c r="GV29">
        <f t="shared" si="56"/>
        <v>0</v>
      </c>
      <c r="GW29">
        <v>1</v>
      </c>
      <c r="GX29">
        <f t="shared" si="57"/>
        <v>0</v>
      </c>
      <c r="HA29">
        <v>0</v>
      </c>
      <c r="HB29">
        <v>0</v>
      </c>
      <c r="HC29">
        <f t="shared" si="58"/>
        <v>0</v>
      </c>
      <c r="HE29" t="s">
        <v>3</v>
      </c>
      <c r="HF29" t="s">
        <v>3</v>
      </c>
      <c r="HI29">
        <f t="shared" si="59"/>
        <v>0</v>
      </c>
      <c r="HJ29">
        <f t="shared" si="60"/>
        <v>257.48</v>
      </c>
      <c r="HK29">
        <f t="shared" si="61"/>
        <v>229.16</v>
      </c>
      <c r="HL29">
        <f t="shared" si="62"/>
        <v>102.99</v>
      </c>
      <c r="HM29" t="s">
        <v>3</v>
      </c>
      <c r="HN29" t="s">
        <v>24</v>
      </c>
      <c r="HO29" t="s">
        <v>25</v>
      </c>
      <c r="HP29" t="s">
        <v>22</v>
      </c>
      <c r="HQ29" t="s">
        <v>22</v>
      </c>
      <c r="IK29">
        <v>0</v>
      </c>
    </row>
    <row r="30" spans="1:245">
      <c r="A30">
        <v>17</v>
      </c>
      <c r="B30">
        <v>1</v>
      </c>
      <c r="C30">
        <f>ROW(SmtRes!A7)</f>
        <v>7</v>
      </c>
      <c r="D30">
        <f>ROW(EtalonRes!A7)</f>
        <v>7</v>
      </c>
      <c r="E30" t="s">
        <v>30</v>
      </c>
      <c r="F30" t="s">
        <v>31</v>
      </c>
      <c r="G30" t="s">
        <v>32</v>
      </c>
      <c r="H30" t="s">
        <v>33</v>
      </c>
      <c r="I30">
        <f>ROUND(72/1000,7)</f>
        <v>7.1999999999999995E-2</v>
      </c>
      <c r="J30">
        <v>0</v>
      </c>
      <c r="K30">
        <f>ROUND(72/1000,7)</f>
        <v>7.1999999999999995E-2</v>
      </c>
      <c r="O30">
        <f t="shared" si="21"/>
        <v>476.41</v>
      </c>
      <c r="P30">
        <f t="shared" si="22"/>
        <v>0</v>
      </c>
      <c r="Q30">
        <f t="shared" si="23"/>
        <v>466.72</v>
      </c>
      <c r="R30">
        <f t="shared" si="24"/>
        <v>65.86</v>
      </c>
      <c r="S30">
        <f t="shared" si="25"/>
        <v>9.69</v>
      </c>
      <c r="T30">
        <f t="shared" si="26"/>
        <v>0</v>
      </c>
      <c r="U30">
        <f t="shared" si="27"/>
        <v>1.2777695999999996</v>
      </c>
      <c r="V30">
        <f t="shared" si="28"/>
        <v>5.838393599999999</v>
      </c>
      <c r="W30">
        <f t="shared" si="29"/>
        <v>0</v>
      </c>
      <c r="X30">
        <f t="shared" si="30"/>
        <v>69.510000000000005</v>
      </c>
      <c r="Y30">
        <f t="shared" si="31"/>
        <v>34.75</v>
      </c>
      <c r="AA30">
        <v>47920234</v>
      </c>
      <c r="AB30">
        <f t="shared" si="32"/>
        <v>6616.75</v>
      </c>
      <c r="AC30">
        <f t="shared" si="33"/>
        <v>0</v>
      </c>
      <c r="AD30">
        <f t="shared" si="34"/>
        <v>6482.23</v>
      </c>
      <c r="AE30">
        <f t="shared" si="35"/>
        <v>914.68</v>
      </c>
      <c r="AF30">
        <f t="shared" si="35"/>
        <v>134.52000000000001</v>
      </c>
      <c r="AG30">
        <f t="shared" si="36"/>
        <v>0</v>
      </c>
      <c r="AH30">
        <f t="shared" si="37"/>
        <v>17.746799999999997</v>
      </c>
      <c r="AI30">
        <f t="shared" si="37"/>
        <v>81.088799999999992</v>
      </c>
      <c r="AJ30">
        <f t="shared" si="38"/>
        <v>0</v>
      </c>
      <c r="AK30">
        <v>4794.75</v>
      </c>
      <c r="AL30">
        <v>0</v>
      </c>
      <c r="AM30">
        <v>4697.2700000000004</v>
      </c>
      <c r="AN30">
        <v>662.81</v>
      </c>
      <c r="AO30">
        <v>97.48</v>
      </c>
      <c r="AP30">
        <v>0</v>
      </c>
      <c r="AQ30">
        <v>12.86</v>
      </c>
      <c r="AR30">
        <v>58.76</v>
      </c>
      <c r="AS30">
        <v>0</v>
      </c>
      <c r="AT30">
        <v>92</v>
      </c>
      <c r="AU30">
        <v>46</v>
      </c>
      <c r="AV30">
        <v>1</v>
      </c>
      <c r="AW30">
        <v>1</v>
      </c>
      <c r="AZ30">
        <v>1</v>
      </c>
      <c r="BA30">
        <v>28.93</v>
      </c>
      <c r="BB30">
        <v>1</v>
      </c>
      <c r="BC30">
        <v>1</v>
      </c>
      <c r="BD30" t="s">
        <v>3</v>
      </c>
      <c r="BE30" t="s">
        <v>3</v>
      </c>
      <c r="BF30" t="s">
        <v>3</v>
      </c>
      <c r="BG30" t="s">
        <v>3</v>
      </c>
      <c r="BH30">
        <v>0</v>
      </c>
      <c r="BI30">
        <v>1</v>
      </c>
      <c r="BJ30" t="s">
        <v>34</v>
      </c>
      <c r="BM30">
        <v>1001</v>
      </c>
      <c r="BN30">
        <v>0</v>
      </c>
      <c r="BO30" t="s">
        <v>3</v>
      </c>
      <c r="BP30">
        <v>0</v>
      </c>
      <c r="BQ30">
        <v>2</v>
      </c>
      <c r="BR30">
        <v>0</v>
      </c>
      <c r="BS30">
        <v>28.93</v>
      </c>
      <c r="BT30">
        <v>1</v>
      </c>
      <c r="BU30">
        <v>1</v>
      </c>
      <c r="BV30">
        <v>1</v>
      </c>
      <c r="BW30">
        <v>1</v>
      </c>
      <c r="BX30">
        <v>1</v>
      </c>
      <c r="BY30" t="s">
        <v>3</v>
      </c>
      <c r="BZ30">
        <v>92</v>
      </c>
      <c r="CA30">
        <v>46</v>
      </c>
      <c r="CB30" t="s">
        <v>3</v>
      </c>
      <c r="CE30">
        <v>0</v>
      </c>
      <c r="CF30">
        <v>0</v>
      </c>
      <c r="CG30">
        <v>0</v>
      </c>
      <c r="CM30">
        <v>0</v>
      </c>
      <c r="CN30" t="s">
        <v>3</v>
      </c>
      <c r="CO30">
        <v>0</v>
      </c>
      <c r="CP30">
        <f t="shared" si="39"/>
        <v>476.41</v>
      </c>
      <c r="CQ30">
        <f t="shared" si="40"/>
        <v>0</v>
      </c>
      <c r="CR30">
        <f t="shared" si="41"/>
        <v>6482.23</v>
      </c>
      <c r="CS30">
        <f t="shared" si="42"/>
        <v>914.68</v>
      </c>
      <c r="CT30">
        <f t="shared" si="43"/>
        <v>134.52000000000001</v>
      </c>
      <c r="CU30">
        <f t="shared" si="44"/>
        <v>0</v>
      </c>
      <c r="CV30">
        <f t="shared" si="45"/>
        <v>17.746799999999997</v>
      </c>
      <c r="CW30">
        <f t="shared" si="46"/>
        <v>81.088799999999992</v>
      </c>
      <c r="CX30">
        <f t="shared" si="47"/>
        <v>0</v>
      </c>
      <c r="CY30">
        <f t="shared" si="48"/>
        <v>69.506</v>
      </c>
      <c r="CZ30">
        <f t="shared" si="49"/>
        <v>34.753</v>
      </c>
      <c r="DC30" t="s">
        <v>3</v>
      </c>
      <c r="DD30" t="s">
        <v>3</v>
      </c>
      <c r="DE30" t="s">
        <v>20</v>
      </c>
      <c r="DF30" t="s">
        <v>20</v>
      </c>
      <c r="DG30" t="s">
        <v>20</v>
      </c>
      <c r="DH30" t="s">
        <v>3</v>
      </c>
      <c r="DI30" t="s">
        <v>20</v>
      </c>
      <c r="DJ30" t="s">
        <v>20</v>
      </c>
      <c r="DK30" t="s">
        <v>3</v>
      </c>
      <c r="DL30" t="s">
        <v>3</v>
      </c>
      <c r="DM30" t="s">
        <v>3</v>
      </c>
      <c r="DN30">
        <v>0</v>
      </c>
      <c r="DO30">
        <v>0</v>
      </c>
      <c r="DP30">
        <v>1</v>
      </c>
      <c r="DQ30">
        <v>1</v>
      </c>
      <c r="DU30">
        <v>1007</v>
      </c>
      <c r="DV30" t="s">
        <v>33</v>
      </c>
      <c r="DW30" t="s">
        <v>33</v>
      </c>
      <c r="DX30">
        <v>1000</v>
      </c>
      <c r="DZ30" t="s">
        <v>3</v>
      </c>
      <c r="EA30" t="s">
        <v>3</v>
      </c>
      <c r="EB30" t="s">
        <v>3</v>
      </c>
      <c r="EC30" t="s">
        <v>3</v>
      </c>
      <c r="EE30">
        <v>41328262</v>
      </c>
      <c r="EF30">
        <v>2</v>
      </c>
      <c r="EG30" t="s">
        <v>21</v>
      </c>
      <c r="EH30">
        <v>1</v>
      </c>
      <c r="EI30" t="s">
        <v>14</v>
      </c>
      <c r="EJ30">
        <v>1</v>
      </c>
      <c r="EK30">
        <v>1001</v>
      </c>
      <c r="EL30" t="s">
        <v>35</v>
      </c>
      <c r="EM30" t="s">
        <v>23</v>
      </c>
      <c r="EO30" t="s">
        <v>3</v>
      </c>
      <c r="EQ30">
        <v>131072</v>
      </c>
      <c r="ER30">
        <v>4794.75</v>
      </c>
      <c r="ES30">
        <v>0</v>
      </c>
      <c r="ET30">
        <v>4697.2700000000004</v>
      </c>
      <c r="EU30">
        <v>662.81</v>
      </c>
      <c r="EV30">
        <v>97.48</v>
      </c>
      <c r="EW30">
        <v>12.86</v>
      </c>
      <c r="EX30">
        <v>58.76</v>
      </c>
      <c r="EY30">
        <v>0</v>
      </c>
      <c r="FQ30">
        <v>0</v>
      </c>
      <c r="FR30">
        <f t="shared" si="50"/>
        <v>0</v>
      </c>
      <c r="FS30">
        <v>0</v>
      </c>
      <c r="FX30">
        <v>92</v>
      </c>
      <c r="FY30">
        <v>46</v>
      </c>
      <c r="GA30" t="s">
        <v>3</v>
      </c>
      <c r="GD30">
        <v>1</v>
      </c>
      <c r="GF30">
        <v>642932022</v>
      </c>
      <c r="GG30">
        <v>2</v>
      </c>
      <c r="GH30">
        <v>1</v>
      </c>
      <c r="GI30">
        <v>4</v>
      </c>
      <c r="GJ30">
        <v>0</v>
      </c>
      <c r="GK30">
        <v>0</v>
      </c>
      <c r="GL30">
        <f t="shared" si="51"/>
        <v>0</v>
      </c>
      <c r="GM30">
        <f t="shared" si="52"/>
        <v>580.66999999999996</v>
      </c>
      <c r="GN30">
        <f t="shared" si="53"/>
        <v>580.66999999999996</v>
      </c>
      <c r="GO30">
        <f t="shared" si="54"/>
        <v>0</v>
      </c>
      <c r="GP30">
        <f t="shared" si="55"/>
        <v>0</v>
      </c>
      <c r="GR30">
        <v>0</v>
      </c>
      <c r="GS30">
        <v>3</v>
      </c>
      <c r="GT30">
        <v>0</v>
      </c>
      <c r="GU30" t="s">
        <v>3</v>
      </c>
      <c r="GV30">
        <f t="shared" si="56"/>
        <v>0</v>
      </c>
      <c r="GW30">
        <v>1</v>
      </c>
      <c r="GX30">
        <f t="shared" si="57"/>
        <v>0</v>
      </c>
      <c r="HA30">
        <v>0</v>
      </c>
      <c r="HB30">
        <v>0</v>
      </c>
      <c r="HC30">
        <f t="shared" si="58"/>
        <v>0</v>
      </c>
      <c r="HE30" t="s">
        <v>3</v>
      </c>
      <c r="HF30" t="s">
        <v>3</v>
      </c>
      <c r="HI30">
        <f t="shared" si="59"/>
        <v>1905.33</v>
      </c>
      <c r="HJ30">
        <f t="shared" si="60"/>
        <v>280.33</v>
      </c>
      <c r="HK30">
        <f t="shared" si="61"/>
        <v>2010.81</v>
      </c>
      <c r="HL30">
        <f t="shared" si="62"/>
        <v>1005.4</v>
      </c>
      <c r="HM30" t="s">
        <v>3</v>
      </c>
      <c r="HN30" t="s">
        <v>36</v>
      </c>
      <c r="HO30" t="s">
        <v>37</v>
      </c>
      <c r="HP30" t="s">
        <v>35</v>
      </c>
      <c r="HQ30" t="s">
        <v>35</v>
      </c>
      <c r="IK30">
        <v>0</v>
      </c>
    </row>
    <row r="31" spans="1:245">
      <c r="A31">
        <v>17</v>
      </c>
      <c r="B31">
        <v>1</v>
      </c>
      <c r="C31">
        <f>ROW(SmtRes!A9)</f>
        <v>9</v>
      </c>
      <c r="D31">
        <f>ROW(EtalonRes!A9)</f>
        <v>9</v>
      </c>
      <c r="E31" t="s">
        <v>38</v>
      </c>
      <c r="F31" t="s">
        <v>39</v>
      </c>
      <c r="G31" t="s">
        <v>40</v>
      </c>
      <c r="H31" t="s">
        <v>18</v>
      </c>
      <c r="I31">
        <f>ROUND(30.33/100,7)</f>
        <v>0.30330000000000001</v>
      </c>
      <c r="J31">
        <v>0</v>
      </c>
      <c r="K31">
        <f>ROUND(30.33/100,7)</f>
        <v>0.30330000000000001</v>
      </c>
      <c r="O31">
        <f t="shared" si="21"/>
        <v>488.59</v>
      </c>
      <c r="P31">
        <f t="shared" si="22"/>
        <v>0</v>
      </c>
      <c r="Q31">
        <f t="shared" si="23"/>
        <v>0</v>
      </c>
      <c r="R31">
        <f t="shared" si="24"/>
        <v>0</v>
      </c>
      <c r="S31">
        <f t="shared" si="25"/>
        <v>488.59</v>
      </c>
      <c r="T31">
        <f t="shared" si="26"/>
        <v>0</v>
      </c>
      <c r="U31">
        <f t="shared" si="27"/>
        <v>64.457315999999992</v>
      </c>
      <c r="V31">
        <f t="shared" si="28"/>
        <v>0</v>
      </c>
      <c r="W31">
        <f t="shared" si="29"/>
        <v>0</v>
      </c>
      <c r="X31">
        <f t="shared" si="30"/>
        <v>434.85</v>
      </c>
      <c r="Y31">
        <f t="shared" si="31"/>
        <v>195.44</v>
      </c>
      <c r="AA31">
        <v>47920234</v>
      </c>
      <c r="AB31">
        <f t="shared" si="32"/>
        <v>1610.9</v>
      </c>
      <c r="AC31">
        <f t="shared" si="33"/>
        <v>0</v>
      </c>
      <c r="AD31">
        <f t="shared" si="34"/>
        <v>0</v>
      </c>
      <c r="AE31">
        <f t="shared" si="35"/>
        <v>0</v>
      </c>
      <c r="AF31">
        <f t="shared" si="35"/>
        <v>1610.9</v>
      </c>
      <c r="AG31">
        <f t="shared" si="36"/>
        <v>0</v>
      </c>
      <c r="AH31">
        <f t="shared" si="37"/>
        <v>212.51999999999998</v>
      </c>
      <c r="AI31">
        <f t="shared" si="37"/>
        <v>0</v>
      </c>
      <c r="AJ31">
        <f t="shared" si="38"/>
        <v>0</v>
      </c>
      <c r="AK31">
        <v>1167.32</v>
      </c>
      <c r="AL31">
        <v>0</v>
      </c>
      <c r="AM31">
        <v>0</v>
      </c>
      <c r="AN31">
        <v>0</v>
      </c>
      <c r="AO31">
        <v>1167.32</v>
      </c>
      <c r="AP31">
        <v>0</v>
      </c>
      <c r="AQ31">
        <v>154</v>
      </c>
      <c r="AR31">
        <v>0</v>
      </c>
      <c r="AS31">
        <v>0</v>
      </c>
      <c r="AT31">
        <v>89</v>
      </c>
      <c r="AU31">
        <v>40</v>
      </c>
      <c r="AV31">
        <v>1</v>
      </c>
      <c r="AW31">
        <v>1</v>
      </c>
      <c r="AZ31">
        <v>1</v>
      </c>
      <c r="BA31">
        <v>28.93</v>
      </c>
      <c r="BB31">
        <v>1</v>
      </c>
      <c r="BC31">
        <v>1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41</v>
      </c>
      <c r="BM31">
        <v>1003</v>
      </c>
      <c r="BN31">
        <v>0</v>
      </c>
      <c r="BO31" t="s">
        <v>3</v>
      </c>
      <c r="BP31">
        <v>0</v>
      </c>
      <c r="BQ31">
        <v>2</v>
      </c>
      <c r="BR31">
        <v>0</v>
      </c>
      <c r="BS31">
        <v>28.93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89</v>
      </c>
      <c r="CA31">
        <v>40</v>
      </c>
      <c r="CB31" t="s">
        <v>3</v>
      </c>
      <c r="CE31">
        <v>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9"/>
        <v>488.59</v>
      </c>
      <c r="CQ31">
        <f t="shared" si="40"/>
        <v>0</v>
      </c>
      <c r="CR31">
        <f t="shared" si="41"/>
        <v>0</v>
      </c>
      <c r="CS31">
        <f t="shared" si="42"/>
        <v>0</v>
      </c>
      <c r="CT31">
        <f t="shared" si="43"/>
        <v>1610.9</v>
      </c>
      <c r="CU31">
        <f t="shared" si="44"/>
        <v>0</v>
      </c>
      <c r="CV31">
        <f t="shared" si="45"/>
        <v>212.51999999999998</v>
      </c>
      <c r="CW31">
        <f t="shared" si="46"/>
        <v>0</v>
      </c>
      <c r="CX31">
        <f t="shared" si="47"/>
        <v>0</v>
      </c>
      <c r="CY31">
        <f t="shared" si="48"/>
        <v>434.84509999999995</v>
      </c>
      <c r="CZ31">
        <f t="shared" si="49"/>
        <v>195.43599999999998</v>
      </c>
      <c r="DC31" t="s">
        <v>3</v>
      </c>
      <c r="DD31" t="s">
        <v>3</v>
      </c>
      <c r="DE31" t="s">
        <v>20</v>
      </c>
      <c r="DF31" t="s">
        <v>20</v>
      </c>
      <c r="DG31" t="s">
        <v>20</v>
      </c>
      <c r="DH31" t="s">
        <v>3</v>
      </c>
      <c r="DI31" t="s">
        <v>20</v>
      </c>
      <c r="DJ31" t="s">
        <v>20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18</v>
      </c>
      <c r="DW31" t="s">
        <v>18</v>
      </c>
      <c r="DX31">
        <v>1</v>
      </c>
      <c r="DZ31" t="s">
        <v>3</v>
      </c>
      <c r="EA31" t="s">
        <v>3</v>
      </c>
      <c r="EB31" t="s">
        <v>3</v>
      </c>
      <c r="EC31" t="s">
        <v>3</v>
      </c>
      <c r="EE31">
        <v>41328264</v>
      </c>
      <c r="EF31">
        <v>2</v>
      </c>
      <c r="EG31" t="s">
        <v>21</v>
      </c>
      <c r="EH31">
        <v>1</v>
      </c>
      <c r="EI31" t="s">
        <v>14</v>
      </c>
      <c r="EJ31">
        <v>1</v>
      </c>
      <c r="EK31">
        <v>1003</v>
      </c>
      <c r="EL31" t="s">
        <v>22</v>
      </c>
      <c r="EM31" t="s">
        <v>23</v>
      </c>
      <c r="EO31" t="s">
        <v>3</v>
      </c>
      <c r="EQ31">
        <v>131072</v>
      </c>
      <c r="ER31">
        <v>1167.32</v>
      </c>
      <c r="ES31">
        <v>0</v>
      </c>
      <c r="ET31">
        <v>0</v>
      </c>
      <c r="EU31">
        <v>0</v>
      </c>
      <c r="EV31">
        <v>1167.32</v>
      </c>
      <c r="EW31">
        <v>154</v>
      </c>
      <c r="EX31">
        <v>0</v>
      </c>
      <c r="EY31">
        <v>0</v>
      </c>
      <c r="FQ31">
        <v>0</v>
      </c>
      <c r="FR31">
        <f t="shared" si="50"/>
        <v>0</v>
      </c>
      <c r="FS31">
        <v>0</v>
      </c>
      <c r="FX31">
        <v>89</v>
      </c>
      <c r="FY31">
        <v>40</v>
      </c>
      <c r="GA31" t="s">
        <v>3</v>
      </c>
      <c r="GD31">
        <v>1</v>
      </c>
      <c r="GF31">
        <v>-289929723</v>
      </c>
      <c r="GG31">
        <v>2</v>
      </c>
      <c r="GH31">
        <v>1</v>
      </c>
      <c r="GI31">
        <v>4</v>
      </c>
      <c r="GJ31">
        <v>0</v>
      </c>
      <c r="GK31">
        <v>0</v>
      </c>
      <c r="GL31">
        <f t="shared" si="51"/>
        <v>0</v>
      </c>
      <c r="GM31">
        <f t="shared" si="52"/>
        <v>1118.8800000000001</v>
      </c>
      <c r="GN31">
        <f t="shared" si="53"/>
        <v>1118.8800000000001</v>
      </c>
      <c r="GO31">
        <f t="shared" si="54"/>
        <v>0</v>
      </c>
      <c r="GP31">
        <f t="shared" si="55"/>
        <v>0</v>
      </c>
      <c r="GR31">
        <v>0</v>
      </c>
      <c r="GS31">
        <v>3</v>
      </c>
      <c r="GT31">
        <v>0</v>
      </c>
      <c r="GU31" t="s">
        <v>3</v>
      </c>
      <c r="GV31">
        <f t="shared" si="56"/>
        <v>0</v>
      </c>
      <c r="GW31">
        <v>1</v>
      </c>
      <c r="GX31">
        <f t="shared" si="57"/>
        <v>0</v>
      </c>
      <c r="HA31">
        <v>0</v>
      </c>
      <c r="HB31">
        <v>0</v>
      </c>
      <c r="HC31">
        <f t="shared" si="58"/>
        <v>0</v>
      </c>
      <c r="HE31" t="s">
        <v>3</v>
      </c>
      <c r="HF31" t="s">
        <v>3</v>
      </c>
      <c r="HI31">
        <f t="shared" si="59"/>
        <v>0</v>
      </c>
      <c r="HJ31">
        <f t="shared" si="60"/>
        <v>14134.91</v>
      </c>
      <c r="HK31">
        <f t="shared" si="61"/>
        <v>12580.07</v>
      </c>
      <c r="HL31">
        <f t="shared" si="62"/>
        <v>5653.96</v>
      </c>
      <c r="HM31" t="s">
        <v>3</v>
      </c>
      <c r="HN31" t="s">
        <v>24</v>
      </c>
      <c r="HO31" t="s">
        <v>25</v>
      </c>
      <c r="HP31" t="s">
        <v>22</v>
      </c>
      <c r="HQ31" t="s">
        <v>22</v>
      </c>
      <c r="IK31">
        <v>0</v>
      </c>
    </row>
    <row r="32" spans="1:245">
      <c r="A32">
        <v>17</v>
      </c>
      <c r="B32">
        <v>1</v>
      </c>
      <c r="C32">
        <f>ROW(SmtRes!A11)</f>
        <v>11</v>
      </c>
      <c r="D32">
        <f>ROW(EtalonRes!A11)</f>
        <v>11</v>
      </c>
      <c r="E32" t="s">
        <v>42</v>
      </c>
      <c r="F32" t="s">
        <v>43</v>
      </c>
      <c r="G32" t="s">
        <v>44</v>
      </c>
      <c r="H32" t="s">
        <v>33</v>
      </c>
      <c r="I32">
        <f>ROUND(61/1000,7)</f>
        <v>6.0999999999999999E-2</v>
      </c>
      <c r="J32">
        <v>0</v>
      </c>
      <c r="K32">
        <f>ROUND(61/1000,7)</f>
        <v>6.0999999999999999E-2</v>
      </c>
      <c r="O32">
        <f t="shared" si="21"/>
        <v>47.76</v>
      </c>
      <c r="P32">
        <f t="shared" si="22"/>
        <v>0</v>
      </c>
      <c r="Q32">
        <f t="shared" si="23"/>
        <v>47.76</v>
      </c>
      <c r="R32">
        <f t="shared" si="24"/>
        <v>8.42</v>
      </c>
      <c r="S32">
        <f t="shared" si="25"/>
        <v>0</v>
      </c>
      <c r="T32">
        <f t="shared" si="26"/>
        <v>0</v>
      </c>
      <c r="U32">
        <f t="shared" si="27"/>
        <v>0</v>
      </c>
      <c r="V32">
        <f t="shared" si="28"/>
        <v>0.74667659999999991</v>
      </c>
      <c r="W32">
        <f t="shared" si="29"/>
        <v>0</v>
      </c>
      <c r="X32">
        <f t="shared" si="30"/>
        <v>7.75</v>
      </c>
      <c r="Y32">
        <f t="shared" si="31"/>
        <v>3.87</v>
      </c>
      <c r="AA32">
        <v>47920234</v>
      </c>
      <c r="AB32">
        <f t="shared" si="32"/>
        <v>783.03</v>
      </c>
      <c r="AC32">
        <f t="shared" si="33"/>
        <v>0</v>
      </c>
      <c r="AD32">
        <f t="shared" si="34"/>
        <v>783.03</v>
      </c>
      <c r="AE32">
        <f t="shared" si="35"/>
        <v>138.07</v>
      </c>
      <c r="AF32">
        <f t="shared" si="35"/>
        <v>0</v>
      </c>
      <c r="AG32">
        <f t="shared" si="36"/>
        <v>0</v>
      </c>
      <c r="AH32">
        <f t="shared" si="37"/>
        <v>0</v>
      </c>
      <c r="AI32">
        <f t="shared" si="37"/>
        <v>12.240599999999999</v>
      </c>
      <c r="AJ32">
        <f t="shared" si="38"/>
        <v>0</v>
      </c>
      <c r="AK32">
        <v>567.41</v>
      </c>
      <c r="AL32">
        <v>0</v>
      </c>
      <c r="AM32">
        <v>567.41</v>
      </c>
      <c r="AN32">
        <v>100.05</v>
      </c>
      <c r="AO32">
        <v>0</v>
      </c>
      <c r="AP32">
        <v>0</v>
      </c>
      <c r="AQ32">
        <v>0</v>
      </c>
      <c r="AR32">
        <v>8.8699999999999992</v>
      </c>
      <c r="AS32">
        <v>0</v>
      </c>
      <c r="AT32">
        <v>92</v>
      </c>
      <c r="AU32">
        <v>46</v>
      </c>
      <c r="AV32">
        <v>1</v>
      </c>
      <c r="AW32">
        <v>1</v>
      </c>
      <c r="AZ32">
        <v>1</v>
      </c>
      <c r="BA32">
        <v>28.93</v>
      </c>
      <c r="BB32">
        <v>1</v>
      </c>
      <c r="BC32">
        <v>1</v>
      </c>
      <c r="BD32" t="s">
        <v>3</v>
      </c>
      <c r="BE32" t="s">
        <v>3</v>
      </c>
      <c r="BF32" t="s">
        <v>3</v>
      </c>
      <c r="BG32" t="s">
        <v>3</v>
      </c>
      <c r="BH32">
        <v>0</v>
      </c>
      <c r="BI32">
        <v>1</v>
      </c>
      <c r="BJ32" t="s">
        <v>45</v>
      </c>
      <c r="BM32">
        <v>1001</v>
      </c>
      <c r="BN32">
        <v>0</v>
      </c>
      <c r="BO32" t="s">
        <v>3</v>
      </c>
      <c r="BP32">
        <v>0</v>
      </c>
      <c r="BQ32">
        <v>2</v>
      </c>
      <c r="BR32">
        <v>0</v>
      </c>
      <c r="BS32">
        <v>28.93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3</v>
      </c>
      <c r="BZ32">
        <v>92</v>
      </c>
      <c r="CA32">
        <v>46</v>
      </c>
      <c r="CB32" t="s">
        <v>3</v>
      </c>
      <c r="CE32">
        <v>0</v>
      </c>
      <c r="CF32">
        <v>0</v>
      </c>
      <c r="CG32">
        <v>0</v>
      </c>
      <c r="CM32">
        <v>0</v>
      </c>
      <c r="CN32" t="s">
        <v>3</v>
      </c>
      <c r="CO32">
        <v>0</v>
      </c>
      <c r="CP32">
        <f t="shared" si="39"/>
        <v>47.76</v>
      </c>
      <c r="CQ32">
        <f t="shared" si="40"/>
        <v>0</v>
      </c>
      <c r="CR32">
        <f t="shared" si="41"/>
        <v>783.03</v>
      </c>
      <c r="CS32">
        <f t="shared" si="42"/>
        <v>138.07</v>
      </c>
      <c r="CT32">
        <f t="shared" si="43"/>
        <v>0</v>
      </c>
      <c r="CU32">
        <f t="shared" si="44"/>
        <v>0</v>
      </c>
      <c r="CV32">
        <f t="shared" si="45"/>
        <v>0</v>
      </c>
      <c r="CW32">
        <f t="shared" si="46"/>
        <v>12.240599999999999</v>
      </c>
      <c r="CX32">
        <f t="shared" si="47"/>
        <v>0</v>
      </c>
      <c r="CY32">
        <f t="shared" si="48"/>
        <v>7.7463999999999995</v>
      </c>
      <c r="CZ32">
        <f t="shared" si="49"/>
        <v>3.8731999999999998</v>
      </c>
      <c r="DC32" t="s">
        <v>3</v>
      </c>
      <c r="DD32" t="s">
        <v>3</v>
      </c>
      <c r="DE32" t="s">
        <v>20</v>
      </c>
      <c r="DF32" t="s">
        <v>20</v>
      </c>
      <c r="DG32" t="s">
        <v>20</v>
      </c>
      <c r="DH32" t="s">
        <v>3</v>
      </c>
      <c r="DI32" t="s">
        <v>20</v>
      </c>
      <c r="DJ32" t="s">
        <v>20</v>
      </c>
      <c r="DK32" t="s">
        <v>3</v>
      </c>
      <c r="DL32" t="s">
        <v>3</v>
      </c>
      <c r="DM32" t="s">
        <v>3</v>
      </c>
      <c r="DN32">
        <v>0</v>
      </c>
      <c r="DO32">
        <v>0</v>
      </c>
      <c r="DP32">
        <v>1</v>
      </c>
      <c r="DQ32">
        <v>1</v>
      </c>
      <c r="DU32">
        <v>1007</v>
      </c>
      <c r="DV32" t="s">
        <v>33</v>
      </c>
      <c r="DW32" t="s">
        <v>33</v>
      </c>
      <c r="DX32">
        <v>1000</v>
      </c>
      <c r="DZ32" t="s">
        <v>3</v>
      </c>
      <c r="EA32" t="s">
        <v>3</v>
      </c>
      <c r="EB32" t="s">
        <v>3</v>
      </c>
      <c r="EC32" t="s">
        <v>3</v>
      </c>
      <c r="EE32">
        <v>41328262</v>
      </c>
      <c r="EF32">
        <v>2</v>
      </c>
      <c r="EG32" t="s">
        <v>21</v>
      </c>
      <c r="EH32">
        <v>1</v>
      </c>
      <c r="EI32" t="s">
        <v>14</v>
      </c>
      <c r="EJ32">
        <v>1</v>
      </c>
      <c r="EK32">
        <v>1001</v>
      </c>
      <c r="EL32" t="s">
        <v>35</v>
      </c>
      <c r="EM32" t="s">
        <v>23</v>
      </c>
      <c r="EO32" t="s">
        <v>3</v>
      </c>
      <c r="EQ32">
        <v>131072</v>
      </c>
      <c r="ER32">
        <v>567.41</v>
      </c>
      <c r="ES32">
        <v>0</v>
      </c>
      <c r="ET32">
        <v>567.41</v>
      </c>
      <c r="EU32">
        <v>100.05</v>
      </c>
      <c r="EV32">
        <v>0</v>
      </c>
      <c r="EW32">
        <v>0</v>
      </c>
      <c r="EX32">
        <v>8.8699999999999992</v>
      </c>
      <c r="EY32">
        <v>0</v>
      </c>
      <c r="FQ32">
        <v>0</v>
      </c>
      <c r="FR32">
        <f t="shared" si="50"/>
        <v>0</v>
      </c>
      <c r="FS32">
        <v>0</v>
      </c>
      <c r="FX32">
        <v>92</v>
      </c>
      <c r="FY32">
        <v>46</v>
      </c>
      <c r="GA32" t="s">
        <v>3</v>
      </c>
      <c r="GD32">
        <v>1</v>
      </c>
      <c r="GF32">
        <v>-611708745</v>
      </c>
      <c r="GG32">
        <v>2</v>
      </c>
      <c r="GH32">
        <v>1</v>
      </c>
      <c r="GI32">
        <v>4</v>
      </c>
      <c r="GJ32">
        <v>0</v>
      </c>
      <c r="GK32">
        <v>0</v>
      </c>
      <c r="GL32">
        <f t="shared" si="51"/>
        <v>0</v>
      </c>
      <c r="GM32">
        <f t="shared" si="52"/>
        <v>59.38</v>
      </c>
      <c r="GN32">
        <f t="shared" si="53"/>
        <v>59.38</v>
      </c>
      <c r="GO32">
        <f t="shared" si="54"/>
        <v>0</v>
      </c>
      <c r="GP32">
        <f t="shared" si="55"/>
        <v>0</v>
      </c>
      <c r="GR32">
        <v>0</v>
      </c>
      <c r="GS32">
        <v>0</v>
      </c>
      <c r="GT32">
        <v>0</v>
      </c>
      <c r="GU32" t="s">
        <v>3</v>
      </c>
      <c r="GV32">
        <f t="shared" si="56"/>
        <v>0</v>
      </c>
      <c r="GW32">
        <v>1</v>
      </c>
      <c r="GX32">
        <f t="shared" si="57"/>
        <v>0</v>
      </c>
      <c r="HA32">
        <v>0</v>
      </c>
      <c r="HB32">
        <v>0</v>
      </c>
      <c r="HC32">
        <f t="shared" si="58"/>
        <v>0</v>
      </c>
      <c r="HE32" t="s">
        <v>3</v>
      </c>
      <c r="HF32" t="s">
        <v>3</v>
      </c>
      <c r="HI32">
        <f t="shared" si="59"/>
        <v>243.59</v>
      </c>
      <c r="HJ32">
        <f t="shared" si="60"/>
        <v>0</v>
      </c>
      <c r="HK32">
        <f t="shared" si="61"/>
        <v>224.1</v>
      </c>
      <c r="HL32">
        <f t="shared" si="62"/>
        <v>112.05</v>
      </c>
      <c r="HM32" t="s">
        <v>3</v>
      </c>
      <c r="HN32" t="s">
        <v>36</v>
      </c>
      <c r="HO32" t="s">
        <v>37</v>
      </c>
      <c r="HP32" t="s">
        <v>35</v>
      </c>
      <c r="HQ32" t="s">
        <v>35</v>
      </c>
      <c r="IK32">
        <v>0</v>
      </c>
    </row>
    <row r="33" spans="1:245">
      <c r="A33">
        <v>17</v>
      </c>
      <c r="B33">
        <v>1</v>
      </c>
      <c r="C33">
        <f>ROW(SmtRes!A13)</f>
        <v>13</v>
      </c>
      <c r="D33">
        <f>ROW(EtalonRes!A13)</f>
        <v>13</v>
      </c>
      <c r="E33" t="s">
        <v>46</v>
      </c>
      <c r="F33" t="s">
        <v>27</v>
      </c>
      <c r="G33" t="s">
        <v>28</v>
      </c>
      <c r="H33" t="s">
        <v>18</v>
      </c>
      <c r="I33">
        <f>ROUND(7.22/100,7)</f>
        <v>7.22E-2</v>
      </c>
      <c r="J33">
        <v>0</v>
      </c>
      <c r="K33">
        <f>ROUND(7.22/100,7)</f>
        <v>7.22E-2</v>
      </c>
      <c r="O33">
        <f t="shared" si="21"/>
        <v>64.28</v>
      </c>
      <c r="P33">
        <f t="shared" si="22"/>
        <v>0</v>
      </c>
      <c r="Q33">
        <f t="shared" si="23"/>
        <v>0</v>
      </c>
      <c r="R33">
        <f t="shared" si="24"/>
        <v>0</v>
      </c>
      <c r="S33">
        <f t="shared" si="25"/>
        <v>64.28</v>
      </c>
      <c r="T33">
        <f t="shared" si="26"/>
        <v>0</v>
      </c>
      <c r="U33">
        <f t="shared" si="27"/>
        <v>8.8177859999999999</v>
      </c>
      <c r="V33">
        <f t="shared" si="28"/>
        <v>0</v>
      </c>
      <c r="W33">
        <f t="shared" si="29"/>
        <v>0</v>
      </c>
      <c r="X33">
        <f t="shared" si="30"/>
        <v>57.21</v>
      </c>
      <c r="Y33">
        <f t="shared" si="31"/>
        <v>25.71</v>
      </c>
      <c r="AA33">
        <v>47920234</v>
      </c>
      <c r="AB33">
        <f t="shared" si="32"/>
        <v>890.33</v>
      </c>
      <c r="AC33">
        <f t="shared" si="33"/>
        <v>0</v>
      </c>
      <c r="AD33">
        <f t="shared" si="34"/>
        <v>0</v>
      </c>
      <c r="AE33">
        <f t="shared" si="35"/>
        <v>0</v>
      </c>
      <c r="AF33">
        <f t="shared" si="35"/>
        <v>890.33</v>
      </c>
      <c r="AG33">
        <f t="shared" si="36"/>
        <v>0</v>
      </c>
      <c r="AH33">
        <f t="shared" si="37"/>
        <v>122.13</v>
      </c>
      <c r="AI33">
        <f t="shared" si="37"/>
        <v>0</v>
      </c>
      <c r="AJ33">
        <f t="shared" si="38"/>
        <v>0</v>
      </c>
      <c r="AK33">
        <v>645.16999999999996</v>
      </c>
      <c r="AL33">
        <v>0</v>
      </c>
      <c r="AM33">
        <v>0</v>
      </c>
      <c r="AN33">
        <v>0</v>
      </c>
      <c r="AO33">
        <v>645.16999999999996</v>
      </c>
      <c r="AP33">
        <v>0</v>
      </c>
      <c r="AQ33">
        <v>88.5</v>
      </c>
      <c r="AR33">
        <v>0</v>
      </c>
      <c r="AS33">
        <v>0</v>
      </c>
      <c r="AT33">
        <v>89</v>
      </c>
      <c r="AU33">
        <v>40</v>
      </c>
      <c r="AV33">
        <v>1</v>
      </c>
      <c r="AW33">
        <v>1</v>
      </c>
      <c r="AZ33">
        <v>1</v>
      </c>
      <c r="BA33">
        <v>28.93</v>
      </c>
      <c r="BB33">
        <v>1</v>
      </c>
      <c r="BC33">
        <v>1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1</v>
      </c>
      <c r="BJ33" t="s">
        <v>29</v>
      </c>
      <c r="BM33">
        <v>1003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v>28.93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89</v>
      </c>
      <c r="CA33">
        <v>40</v>
      </c>
      <c r="CB33" t="s">
        <v>3</v>
      </c>
      <c r="CE33">
        <v>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9"/>
        <v>64.28</v>
      </c>
      <c r="CQ33">
        <f t="shared" si="40"/>
        <v>0</v>
      </c>
      <c r="CR33">
        <f t="shared" si="41"/>
        <v>0</v>
      </c>
      <c r="CS33">
        <f t="shared" si="42"/>
        <v>0</v>
      </c>
      <c r="CT33">
        <f t="shared" si="43"/>
        <v>890.33</v>
      </c>
      <c r="CU33">
        <f t="shared" si="44"/>
        <v>0</v>
      </c>
      <c r="CV33">
        <f t="shared" si="45"/>
        <v>122.13</v>
      </c>
      <c r="CW33">
        <f t="shared" si="46"/>
        <v>0</v>
      </c>
      <c r="CX33">
        <f t="shared" si="47"/>
        <v>0</v>
      </c>
      <c r="CY33">
        <f t="shared" si="48"/>
        <v>57.209200000000003</v>
      </c>
      <c r="CZ33">
        <f t="shared" si="49"/>
        <v>25.712</v>
      </c>
      <c r="DC33" t="s">
        <v>3</v>
      </c>
      <c r="DD33" t="s">
        <v>3</v>
      </c>
      <c r="DE33" t="s">
        <v>20</v>
      </c>
      <c r="DF33" t="s">
        <v>20</v>
      </c>
      <c r="DG33" t="s">
        <v>20</v>
      </c>
      <c r="DH33" t="s">
        <v>3</v>
      </c>
      <c r="DI33" t="s">
        <v>20</v>
      </c>
      <c r="DJ33" t="s">
        <v>20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18</v>
      </c>
      <c r="DW33" t="s">
        <v>18</v>
      </c>
      <c r="DX33">
        <v>1</v>
      </c>
      <c r="DZ33" t="s">
        <v>3</v>
      </c>
      <c r="EA33" t="s">
        <v>3</v>
      </c>
      <c r="EB33" t="s">
        <v>3</v>
      </c>
      <c r="EC33" t="s">
        <v>3</v>
      </c>
      <c r="EE33">
        <v>41328264</v>
      </c>
      <c r="EF33">
        <v>2</v>
      </c>
      <c r="EG33" t="s">
        <v>21</v>
      </c>
      <c r="EH33">
        <v>1</v>
      </c>
      <c r="EI33" t="s">
        <v>14</v>
      </c>
      <c r="EJ33">
        <v>1</v>
      </c>
      <c r="EK33">
        <v>1003</v>
      </c>
      <c r="EL33" t="s">
        <v>22</v>
      </c>
      <c r="EM33" t="s">
        <v>23</v>
      </c>
      <c r="EO33" t="s">
        <v>3</v>
      </c>
      <c r="EQ33">
        <v>131072</v>
      </c>
      <c r="ER33">
        <v>645.16999999999996</v>
      </c>
      <c r="ES33">
        <v>0</v>
      </c>
      <c r="ET33">
        <v>0</v>
      </c>
      <c r="EU33">
        <v>0</v>
      </c>
      <c r="EV33">
        <v>645.16999999999996</v>
      </c>
      <c r="EW33">
        <v>88.5</v>
      </c>
      <c r="EX33">
        <v>0</v>
      </c>
      <c r="EY33">
        <v>0</v>
      </c>
      <c r="FQ33">
        <v>0</v>
      </c>
      <c r="FR33">
        <f t="shared" si="50"/>
        <v>0</v>
      </c>
      <c r="FS33">
        <v>0</v>
      </c>
      <c r="FX33">
        <v>89</v>
      </c>
      <c r="FY33">
        <v>40</v>
      </c>
      <c r="GA33" t="s">
        <v>3</v>
      </c>
      <c r="GD33">
        <v>1</v>
      </c>
      <c r="GF33">
        <v>-736900731</v>
      </c>
      <c r="GG33">
        <v>2</v>
      </c>
      <c r="GH33">
        <v>1</v>
      </c>
      <c r="GI33">
        <v>4</v>
      </c>
      <c r="GJ33">
        <v>0</v>
      </c>
      <c r="GK33">
        <v>0</v>
      </c>
      <c r="GL33">
        <f t="shared" si="51"/>
        <v>0</v>
      </c>
      <c r="GM33">
        <f t="shared" si="52"/>
        <v>147.19999999999999</v>
      </c>
      <c r="GN33">
        <f t="shared" si="53"/>
        <v>147.19999999999999</v>
      </c>
      <c r="GO33">
        <f t="shared" si="54"/>
        <v>0</v>
      </c>
      <c r="GP33">
        <f t="shared" si="55"/>
        <v>0</v>
      </c>
      <c r="GR33">
        <v>0</v>
      </c>
      <c r="GS33">
        <v>3</v>
      </c>
      <c r="GT33">
        <v>0</v>
      </c>
      <c r="GU33" t="s">
        <v>3</v>
      </c>
      <c r="GV33">
        <f t="shared" si="56"/>
        <v>0</v>
      </c>
      <c r="GW33">
        <v>1</v>
      </c>
      <c r="GX33">
        <f t="shared" si="57"/>
        <v>0</v>
      </c>
      <c r="HA33">
        <v>0</v>
      </c>
      <c r="HB33">
        <v>0</v>
      </c>
      <c r="HC33">
        <f t="shared" si="58"/>
        <v>0</v>
      </c>
      <c r="HE33" t="s">
        <v>3</v>
      </c>
      <c r="HF33" t="s">
        <v>3</v>
      </c>
      <c r="HI33">
        <f t="shared" si="59"/>
        <v>0</v>
      </c>
      <c r="HJ33">
        <f t="shared" si="60"/>
        <v>1859.62</v>
      </c>
      <c r="HK33">
        <f t="shared" si="61"/>
        <v>1655.06</v>
      </c>
      <c r="HL33">
        <f t="shared" si="62"/>
        <v>743.85</v>
      </c>
      <c r="HM33" t="s">
        <v>3</v>
      </c>
      <c r="HN33" t="s">
        <v>24</v>
      </c>
      <c r="HO33" t="s">
        <v>25</v>
      </c>
      <c r="HP33" t="s">
        <v>22</v>
      </c>
      <c r="HQ33" t="s">
        <v>22</v>
      </c>
      <c r="IK33">
        <v>0</v>
      </c>
    </row>
    <row r="34" spans="1:245">
      <c r="A34">
        <v>17</v>
      </c>
      <c r="B34">
        <v>1</v>
      </c>
      <c r="C34">
        <f>ROW(SmtRes!A15)</f>
        <v>15</v>
      </c>
      <c r="D34">
        <f>ROW(EtalonRes!A15)</f>
        <v>15</v>
      </c>
      <c r="E34" t="s">
        <v>47</v>
      </c>
      <c r="F34" t="s">
        <v>48</v>
      </c>
      <c r="G34" t="s">
        <v>49</v>
      </c>
      <c r="H34" t="s">
        <v>50</v>
      </c>
      <c r="I34">
        <v>59.69</v>
      </c>
      <c r="J34">
        <v>0</v>
      </c>
      <c r="K34">
        <v>59.69</v>
      </c>
      <c r="O34">
        <f t="shared" si="21"/>
        <v>281.74</v>
      </c>
      <c r="P34">
        <f t="shared" si="22"/>
        <v>0</v>
      </c>
      <c r="Q34">
        <f t="shared" si="23"/>
        <v>281.74</v>
      </c>
      <c r="R34">
        <f t="shared" si="24"/>
        <v>0</v>
      </c>
      <c r="S34">
        <f t="shared" si="25"/>
        <v>0</v>
      </c>
      <c r="T34">
        <f t="shared" si="26"/>
        <v>0</v>
      </c>
      <c r="U34">
        <f t="shared" si="27"/>
        <v>0</v>
      </c>
      <c r="V34">
        <f t="shared" si="28"/>
        <v>1.7310099999999999</v>
      </c>
      <c r="W34">
        <f t="shared" si="29"/>
        <v>0</v>
      </c>
      <c r="X34">
        <f t="shared" si="30"/>
        <v>0</v>
      </c>
      <c r="Y34">
        <f t="shared" si="31"/>
        <v>0</v>
      </c>
      <c r="AA34">
        <v>47920234</v>
      </c>
      <c r="AB34">
        <f t="shared" si="32"/>
        <v>4.72</v>
      </c>
      <c r="AC34">
        <f t="shared" si="33"/>
        <v>0</v>
      </c>
      <c r="AD34">
        <f>ROUND(((ET34)+ROUND(((EU34)*1.6),2)),2)</f>
        <v>4.72</v>
      </c>
      <c r="AE34">
        <f>ROUND(((EU34)+ROUND(((EU34)*1.6),2)),2)</f>
        <v>0</v>
      </c>
      <c r="AF34">
        <f>ROUND(((EV34)+ROUND(((EV34)*1.6),2)),2)</f>
        <v>0</v>
      </c>
      <c r="AG34">
        <f t="shared" si="36"/>
        <v>0</v>
      </c>
      <c r="AH34">
        <f>(EW34)</f>
        <v>0</v>
      </c>
      <c r="AI34">
        <f>(EX34)</f>
        <v>2.9000000000000001E-2</v>
      </c>
      <c r="AJ34">
        <f t="shared" si="38"/>
        <v>0</v>
      </c>
      <c r="AK34">
        <v>4.72</v>
      </c>
      <c r="AL34">
        <v>0</v>
      </c>
      <c r="AM34">
        <v>4.72</v>
      </c>
      <c r="AN34">
        <v>0</v>
      </c>
      <c r="AO34">
        <v>0</v>
      </c>
      <c r="AP34">
        <v>0</v>
      </c>
      <c r="AQ34">
        <v>0</v>
      </c>
      <c r="AR34">
        <v>2.9000000000000001E-2</v>
      </c>
      <c r="AS34">
        <v>0</v>
      </c>
      <c r="AT34">
        <v>0</v>
      </c>
      <c r="AU34">
        <v>0</v>
      </c>
      <c r="AV34">
        <v>1</v>
      </c>
      <c r="AW34">
        <v>1</v>
      </c>
      <c r="AZ34">
        <v>1</v>
      </c>
      <c r="BA34">
        <v>28.93</v>
      </c>
      <c r="BB34">
        <v>1</v>
      </c>
      <c r="BC34">
        <v>1</v>
      </c>
      <c r="BD34" t="s">
        <v>3</v>
      </c>
      <c r="BE34" t="s">
        <v>3</v>
      </c>
      <c r="BF34" t="s">
        <v>3</v>
      </c>
      <c r="BG34" t="s">
        <v>3</v>
      </c>
      <c r="BH34">
        <v>0</v>
      </c>
      <c r="BI34">
        <v>1</v>
      </c>
      <c r="BJ34" t="s">
        <v>51</v>
      </c>
      <c r="BM34">
        <v>700004</v>
      </c>
      <c r="BN34">
        <v>0</v>
      </c>
      <c r="BO34" t="s">
        <v>3</v>
      </c>
      <c r="BP34">
        <v>0</v>
      </c>
      <c r="BQ34">
        <v>19</v>
      </c>
      <c r="BR34">
        <v>0</v>
      </c>
      <c r="BS34">
        <v>28.93</v>
      </c>
      <c r="BT34">
        <v>1</v>
      </c>
      <c r="BU34">
        <v>1</v>
      </c>
      <c r="BV34">
        <v>1</v>
      </c>
      <c r="BW34">
        <v>1</v>
      </c>
      <c r="BX34">
        <v>1</v>
      </c>
      <c r="BY34" t="s">
        <v>3</v>
      </c>
      <c r="BZ34">
        <v>0</v>
      </c>
      <c r="CA34">
        <v>0</v>
      </c>
      <c r="CB34" t="s">
        <v>3</v>
      </c>
      <c r="CE34">
        <v>0</v>
      </c>
      <c r="CF34">
        <v>0</v>
      </c>
      <c r="CG34">
        <v>0</v>
      </c>
      <c r="CM34">
        <v>0</v>
      </c>
      <c r="CN34" t="s">
        <v>3</v>
      </c>
      <c r="CO34">
        <v>0</v>
      </c>
      <c r="CP34">
        <f t="shared" si="39"/>
        <v>281.74</v>
      </c>
      <c r="CQ34">
        <f t="shared" si="40"/>
        <v>0</v>
      </c>
      <c r="CR34">
        <f t="shared" si="41"/>
        <v>4.72</v>
      </c>
      <c r="CS34">
        <f t="shared" si="42"/>
        <v>0</v>
      </c>
      <c r="CT34">
        <f t="shared" si="43"/>
        <v>0</v>
      </c>
      <c r="CU34">
        <f t="shared" si="44"/>
        <v>0</v>
      </c>
      <c r="CV34">
        <f t="shared" si="45"/>
        <v>0</v>
      </c>
      <c r="CW34">
        <f t="shared" si="46"/>
        <v>2.9000000000000001E-2</v>
      </c>
      <c r="CX34">
        <f t="shared" si="47"/>
        <v>0</v>
      </c>
      <c r="CY34">
        <f t="shared" si="48"/>
        <v>0</v>
      </c>
      <c r="CZ34">
        <f t="shared" si="49"/>
        <v>0</v>
      </c>
      <c r="DC34" t="s">
        <v>3</v>
      </c>
      <c r="DD34" t="s">
        <v>3</v>
      </c>
      <c r="DE34" t="s">
        <v>3</v>
      </c>
      <c r="DF34" t="s">
        <v>3</v>
      </c>
      <c r="DG34" t="s">
        <v>3</v>
      </c>
      <c r="DH34" t="s">
        <v>3</v>
      </c>
      <c r="DI34" t="s">
        <v>3</v>
      </c>
      <c r="DJ34" t="s">
        <v>3</v>
      </c>
      <c r="DK34" t="s">
        <v>3</v>
      </c>
      <c r="DL34" t="s">
        <v>3</v>
      </c>
      <c r="DM34" t="s">
        <v>3</v>
      </c>
      <c r="DN34">
        <v>0</v>
      </c>
      <c r="DO34">
        <v>0</v>
      </c>
      <c r="DP34">
        <v>1</v>
      </c>
      <c r="DQ34">
        <v>1</v>
      </c>
      <c r="DU34">
        <v>1013</v>
      </c>
      <c r="DV34" t="s">
        <v>50</v>
      </c>
      <c r="DW34" t="s">
        <v>50</v>
      </c>
      <c r="DX34">
        <v>1</v>
      </c>
      <c r="DZ34" t="s">
        <v>3</v>
      </c>
      <c r="EA34" t="s">
        <v>3</v>
      </c>
      <c r="EB34" t="s">
        <v>3</v>
      </c>
      <c r="EC34" t="s">
        <v>3</v>
      </c>
      <c r="EE34">
        <v>41328485</v>
      </c>
      <c r="EF34">
        <v>19</v>
      </c>
      <c r="EG34" t="s">
        <v>52</v>
      </c>
      <c r="EH34">
        <v>106</v>
      </c>
      <c r="EI34" t="s">
        <v>52</v>
      </c>
      <c r="EJ34">
        <v>1</v>
      </c>
      <c r="EK34">
        <v>700004</v>
      </c>
      <c r="EL34" t="s">
        <v>52</v>
      </c>
      <c r="EM34" t="s">
        <v>53</v>
      </c>
      <c r="EO34" t="s">
        <v>3</v>
      </c>
      <c r="EQ34">
        <v>131072</v>
      </c>
      <c r="ER34">
        <v>4.72</v>
      </c>
      <c r="ES34">
        <v>0</v>
      </c>
      <c r="ET34">
        <v>4.72</v>
      </c>
      <c r="EU34">
        <v>0</v>
      </c>
      <c r="EV34">
        <v>0</v>
      </c>
      <c r="EW34">
        <v>0</v>
      </c>
      <c r="EX34">
        <v>2.9000000000000001E-2</v>
      </c>
      <c r="EY34">
        <v>0</v>
      </c>
      <c r="FQ34">
        <v>0</v>
      </c>
      <c r="FR34">
        <f t="shared" si="50"/>
        <v>0</v>
      </c>
      <c r="FS34">
        <v>0</v>
      </c>
      <c r="FX34">
        <v>0</v>
      </c>
      <c r="FY34">
        <v>0</v>
      </c>
      <c r="GA34" t="s">
        <v>3</v>
      </c>
      <c r="GD34">
        <v>1</v>
      </c>
      <c r="GF34">
        <v>2110629241</v>
      </c>
      <c r="GG34">
        <v>2</v>
      </c>
      <c r="GH34">
        <v>1</v>
      </c>
      <c r="GI34">
        <v>4</v>
      </c>
      <c r="GJ34">
        <v>0</v>
      </c>
      <c r="GK34">
        <v>0</v>
      </c>
      <c r="GL34">
        <f t="shared" si="51"/>
        <v>0</v>
      </c>
      <c r="GM34">
        <f t="shared" si="52"/>
        <v>281.74</v>
      </c>
      <c r="GN34">
        <f t="shared" si="53"/>
        <v>281.74</v>
      </c>
      <c r="GO34">
        <f t="shared" si="54"/>
        <v>0</v>
      </c>
      <c r="GP34">
        <f t="shared" si="55"/>
        <v>0</v>
      </c>
      <c r="GR34">
        <v>0</v>
      </c>
      <c r="GS34">
        <v>3</v>
      </c>
      <c r="GT34">
        <v>0</v>
      </c>
      <c r="GU34" t="s">
        <v>3</v>
      </c>
      <c r="GV34">
        <f t="shared" si="56"/>
        <v>0</v>
      </c>
      <c r="GW34">
        <v>1</v>
      </c>
      <c r="GX34">
        <f t="shared" si="57"/>
        <v>0</v>
      </c>
      <c r="HA34">
        <v>0</v>
      </c>
      <c r="HB34">
        <v>0</v>
      </c>
      <c r="HC34">
        <f t="shared" si="58"/>
        <v>0</v>
      </c>
      <c r="HD34">
        <f>GM34</f>
        <v>281.74</v>
      </c>
      <c r="HE34" t="s">
        <v>3</v>
      </c>
      <c r="HF34" t="s">
        <v>3</v>
      </c>
      <c r="HI34">
        <f t="shared" si="59"/>
        <v>0</v>
      </c>
      <c r="HJ34">
        <f t="shared" si="60"/>
        <v>0</v>
      </c>
      <c r="HK34">
        <f t="shared" si="61"/>
        <v>0</v>
      </c>
      <c r="HL34">
        <f t="shared" si="62"/>
        <v>0</v>
      </c>
      <c r="HM34" t="s">
        <v>3</v>
      </c>
      <c r="HN34" t="s">
        <v>3</v>
      </c>
      <c r="HO34" t="s">
        <v>3</v>
      </c>
      <c r="HP34" t="s">
        <v>3</v>
      </c>
      <c r="HQ34" t="s">
        <v>3</v>
      </c>
      <c r="IK34">
        <v>0</v>
      </c>
    </row>
    <row r="35" spans="1:245">
      <c r="A35">
        <v>17</v>
      </c>
      <c r="B35">
        <v>1</v>
      </c>
      <c r="E35" t="s">
        <v>54</v>
      </c>
      <c r="F35" t="s">
        <v>55</v>
      </c>
      <c r="G35" t="s">
        <v>56</v>
      </c>
      <c r="H35" t="s">
        <v>50</v>
      </c>
      <c r="I35">
        <v>59.69</v>
      </c>
      <c r="J35">
        <v>0</v>
      </c>
      <c r="K35">
        <v>59.69</v>
      </c>
      <c r="O35">
        <f t="shared" si="21"/>
        <v>750.3</v>
      </c>
      <c r="P35">
        <f t="shared" si="22"/>
        <v>0</v>
      </c>
      <c r="Q35">
        <f t="shared" si="23"/>
        <v>750.3</v>
      </c>
      <c r="R35">
        <f t="shared" si="24"/>
        <v>0</v>
      </c>
      <c r="S35">
        <f t="shared" si="25"/>
        <v>0</v>
      </c>
      <c r="T35">
        <f t="shared" si="26"/>
        <v>0</v>
      </c>
      <c r="U35">
        <f t="shared" si="27"/>
        <v>0</v>
      </c>
      <c r="V35">
        <f t="shared" si="28"/>
        <v>0</v>
      </c>
      <c r="W35">
        <f t="shared" si="29"/>
        <v>0</v>
      </c>
      <c r="X35">
        <f t="shared" si="30"/>
        <v>0</v>
      </c>
      <c r="Y35">
        <f t="shared" si="31"/>
        <v>0</v>
      </c>
      <c r="AA35">
        <v>47920234</v>
      </c>
      <c r="AB35">
        <f t="shared" si="32"/>
        <v>12.57</v>
      </c>
      <c r="AC35">
        <f t="shared" si="33"/>
        <v>0</v>
      </c>
      <c r="AD35">
        <f>ROUND(((ET35)+ROUND(((EU35)*1.85),2)),2)</f>
        <v>12.57</v>
      </c>
      <c r="AE35">
        <f>ROUND(((EU35)+ROUND(((EU35)*1.85),2)),2)</f>
        <v>0</v>
      </c>
      <c r="AF35">
        <f>ROUND(((EV35)+ROUND(((EV35)*1.85),2)),2)</f>
        <v>0</v>
      </c>
      <c r="AG35">
        <f t="shared" si="36"/>
        <v>0</v>
      </c>
      <c r="AH35">
        <f>(EW35)</f>
        <v>0</v>
      </c>
      <c r="AI35">
        <f>(EX35)</f>
        <v>0</v>
      </c>
      <c r="AJ35">
        <f t="shared" si="38"/>
        <v>0</v>
      </c>
      <c r="AK35">
        <v>12.57</v>
      </c>
      <c r="AL35">
        <v>0</v>
      </c>
      <c r="AM35">
        <v>12.57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1</v>
      </c>
      <c r="AZ35">
        <v>1</v>
      </c>
      <c r="BA35">
        <v>28.93</v>
      </c>
      <c r="BB35">
        <v>1</v>
      </c>
      <c r="BC35">
        <v>1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1</v>
      </c>
      <c r="BJ35" t="s">
        <v>57</v>
      </c>
      <c r="BM35">
        <v>700001</v>
      </c>
      <c r="BN35">
        <v>0</v>
      </c>
      <c r="BO35" t="s">
        <v>3</v>
      </c>
      <c r="BP35">
        <v>0</v>
      </c>
      <c r="BQ35">
        <v>10</v>
      </c>
      <c r="BR35">
        <v>0</v>
      </c>
      <c r="BS35">
        <v>28.93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0</v>
      </c>
      <c r="CA35">
        <v>0</v>
      </c>
      <c r="CB35" t="s">
        <v>3</v>
      </c>
      <c r="CE35">
        <v>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9"/>
        <v>750.3</v>
      </c>
      <c r="CQ35">
        <f t="shared" si="40"/>
        <v>0</v>
      </c>
      <c r="CR35">
        <f t="shared" si="41"/>
        <v>12.57</v>
      </c>
      <c r="CS35">
        <f t="shared" si="42"/>
        <v>0</v>
      </c>
      <c r="CT35">
        <f t="shared" si="43"/>
        <v>0</v>
      </c>
      <c r="CU35">
        <f t="shared" si="44"/>
        <v>0</v>
      </c>
      <c r="CV35">
        <f t="shared" si="45"/>
        <v>0</v>
      </c>
      <c r="CW35">
        <f t="shared" si="46"/>
        <v>0</v>
      </c>
      <c r="CX35">
        <f t="shared" si="47"/>
        <v>0</v>
      </c>
      <c r="CY35">
        <f t="shared" si="48"/>
        <v>0</v>
      </c>
      <c r="CZ35">
        <f t="shared" si="49"/>
        <v>0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50</v>
      </c>
      <c r="DW35" t="s">
        <v>50</v>
      </c>
      <c r="DX35">
        <v>1</v>
      </c>
      <c r="DZ35" t="s">
        <v>3</v>
      </c>
      <c r="EA35" t="s">
        <v>3</v>
      </c>
      <c r="EB35" t="s">
        <v>3</v>
      </c>
      <c r="EC35" t="s">
        <v>3</v>
      </c>
      <c r="EE35">
        <v>41328226</v>
      </c>
      <c r="EF35">
        <v>10</v>
      </c>
      <c r="EG35" t="s">
        <v>58</v>
      </c>
      <c r="EH35">
        <v>0</v>
      </c>
      <c r="EI35" t="s">
        <v>3</v>
      </c>
      <c r="EJ35">
        <v>1</v>
      </c>
      <c r="EK35">
        <v>700001</v>
      </c>
      <c r="EL35" t="s">
        <v>59</v>
      </c>
      <c r="EM35" t="s">
        <v>60</v>
      </c>
      <c r="EO35" t="s">
        <v>3</v>
      </c>
      <c r="EQ35">
        <v>131072</v>
      </c>
      <c r="ER35">
        <v>12.57</v>
      </c>
      <c r="ES35">
        <v>0</v>
      </c>
      <c r="ET35">
        <v>12.57</v>
      </c>
      <c r="EU35">
        <v>0</v>
      </c>
      <c r="EV35">
        <v>0</v>
      </c>
      <c r="EW35">
        <v>0</v>
      </c>
      <c r="EX35">
        <v>0</v>
      </c>
      <c r="EY35">
        <v>0</v>
      </c>
      <c r="FQ35">
        <v>0</v>
      </c>
      <c r="FR35">
        <f t="shared" si="50"/>
        <v>0</v>
      </c>
      <c r="FS35">
        <v>0</v>
      </c>
      <c r="FX35">
        <v>0</v>
      </c>
      <c r="FY35">
        <v>0</v>
      </c>
      <c r="GA35" t="s">
        <v>3</v>
      </c>
      <c r="GD35">
        <v>1</v>
      </c>
      <c r="GF35">
        <v>1990775751</v>
      </c>
      <c r="GG35">
        <v>2</v>
      </c>
      <c r="GH35">
        <v>1</v>
      </c>
      <c r="GI35">
        <v>4</v>
      </c>
      <c r="GJ35">
        <v>0</v>
      </c>
      <c r="GK35">
        <v>0</v>
      </c>
      <c r="GL35">
        <f t="shared" si="51"/>
        <v>0</v>
      </c>
      <c r="GM35">
        <f t="shared" si="52"/>
        <v>750.3</v>
      </c>
      <c r="GN35">
        <f t="shared" si="53"/>
        <v>750.3</v>
      </c>
      <c r="GO35">
        <f t="shared" si="54"/>
        <v>0</v>
      </c>
      <c r="GP35">
        <f t="shared" si="55"/>
        <v>0</v>
      </c>
      <c r="GR35">
        <v>0</v>
      </c>
      <c r="GS35">
        <v>3</v>
      </c>
      <c r="GT35">
        <v>0</v>
      </c>
      <c r="GU35" t="s">
        <v>3</v>
      </c>
      <c r="GV35">
        <f t="shared" si="56"/>
        <v>0</v>
      </c>
      <c r="GW35">
        <v>1</v>
      </c>
      <c r="GX35">
        <f t="shared" si="57"/>
        <v>0</v>
      </c>
      <c r="HA35">
        <v>0</v>
      </c>
      <c r="HB35">
        <v>0</v>
      </c>
      <c r="HC35">
        <f t="shared" si="58"/>
        <v>0</v>
      </c>
      <c r="HD35">
        <f>GM35</f>
        <v>750.3</v>
      </c>
      <c r="HE35" t="s">
        <v>3</v>
      </c>
      <c r="HF35" t="s">
        <v>3</v>
      </c>
      <c r="HI35">
        <f t="shared" si="59"/>
        <v>0</v>
      </c>
      <c r="HJ35">
        <f t="shared" si="60"/>
        <v>0</v>
      </c>
      <c r="HK35">
        <f t="shared" si="61"/>
        <v>0</v>
      </c>
      <c r="HL35">
        <f t="shared" si="62"/>
        <v>0</v>
      </c>
      <c r="HM35" t="s">
        <v>3</v>
      </c>
      <c r="HN35" t="s">
        <v>3</v>
      </c>
      <c r="HO35" t="s">
        <v>3</v>
      </c>
      <c r="HP35" t="s">
        <v>3</v>
      </c>
      <c r="HQ35" t="s">
        <v>3</v>
      </c>
      <c r="IK35">
        <v>0</v>
      </c>
    </row>
    <row r="36" spans="1:245">
      <c r="A36">
        <v>17</v>
      </c>
      <c r="B36">
        <v>1</v>
      </c>
      <c r="C36">
        <f>ROW(SmtRes!A25)</f>
        <v>25</v>
      </c>
      <c r="D36">
        <f>ROW(EtalonRes!A25)</f>
        <v>25</v>
      </c>
      <c r="E36" t="s">
        <v>61</v>
      </c>
      <c r="F36" t="s">
        <v>62</v>
      </c>
      <c r="G36" t="s">
        <v>63</v>
      </c>
      <c r="H36" t="s">
        <v>64</v>
      </c>
      <c r="I36">
        <v>8.9999999999999993E-3</v>
      </c>
      <c r="J36">
        <v>0</v>
      </c>
      <c r="K36">
        <v>8.9999999999999993E-3</v>
      </c>
      <c r="O36">
        <f t="shared" si="21"/>
        <v>1530.04</v>
      </c>
      <c r="P36">
        <f t="shared" si="22"/>
        <v>1432.15</v>
      </c>
      <c r="Q36">
        <f t="shared" si="23"/>
        <v>66.11</v>
      </c>
      <c r="R36">
        <f t="shared" si="24"/>
        <v>6.93</v>
      </c>
      <c r="S36">
        <f t="shared" si="25"/>
        <v>31.78</v>
      </c>
      <c r="T36">
        <f t="shared" si="26"/>
        <v>0</v>
      </c>
      <c r="U36">
        <f t="shared" si="27"/>
        <v>3.5585783999999991</v>
      </c>
      <c r="V36">
        <f t="shared" si="28"/>
        <v>0.54573479999999985</v>
      </c>
      <c r="W36">
        <f t="shared" si="29"/>
        <v>0</v>
      </c>
      <c r="X36">
        <f t="shared" si="30"/>
        <v>45.29</v>
      </c>
      <c r="Y36">
        <f t="shared" si="31"/>
        <v>28.65</v>
      </c>
      <c r="AA36">
        <v>47920234</v>
      </c>
      <c r="AB36">
        <f t="shared" si="32"/>
        <v>170004.87</v>
      </c>
      <c r="AC36">
        <f t="shared" si="33"/>
        <v>159128.16</v>
      </c>
      <c r="AD36">
        <f>ROUND(((((ET36*ROUND((1.15*1.2),7)))-((EU36*ROUND((1.15*1.2),7))))+AE36),2)</f>
        <v>7345.81</v>
      </c>
      <c r="AE36">
        <f>ROUND(((EU36*ROUND((1.15*1.2),7))),2)</f>
        <v>769.74</v>
      </c>
      <c r="AF36">
        <f>ROUND(((EV36*ROUND((1.15*1.2),7))),2)</f>
        <v>3530.9</v>
      </c>
      <c r="AG36">
        <f t="shared" si="36"/>
        <v>0</v>
      </c>
      <c r="AH36">
        <f>((EW36*ROUND((1.15*1.2),7)))</f>
        <v>395.39759999999995</v>
      </c>
      <c r="AI36">
        <f>((EX36*ROUND((1.15*1.2),7)))</f>
        <v>60.637199999999993</v>
      </c>
      <c r="AJ36">
        <f t="shared" si="38"/>
        <v>0</v>
      </c>
      <c r="AK36">
        <v>167009.82999999999</v>
      </c>
      <c r="AL36">
        <v>159128.16</v>
      </c>
      <c r="AM36">
        <v>5323.05</v>
      </c>
      <c r="AN36">
        <v>557.78</v>
      </c>
      <c r="AO36">
        <v>2558.62</v>
      </c>
      <c r="AP36">
        <v>0</v>
      </c>
      <c r="AQ36">
        <v>286.52</v>
      </c>
      <c r="AR36">
        <v>43.94</v>
      </c>
      <c r="AS36">
        <v>0</v>
      </c>
      <c r="AT36">
        <v>117</v>
      </c>
      <c r="AU36">
        <v>74</v>
      </c>
      <c r="AV36">
        <v>1</v>
      </c>
      <c r="AW36">
        <v>1</v>
      </c>
      <c r="AZ36">
        <v>1</v>
      </c>
      <c r="BA36">
        <v>28.93</v>
      </c>
      <c r="BB36">
        <v>1</v>
      </c>
      <c r="BC36">
        <v>1</v>
      </c>
      <c r="BD36" t="s">
        <v>3</v>
      </c>
      <c r="BE36" t="s">
        <v>3</v>
      </c>
      <c r="BF36" t="s">
        <v>3</v>
      </c>
      <c r="BG36" t="s">
        <v>3</v>
      </c>
      <c r="BH36">
        <v>0</v>
      </c>
      <c r="BI36">
        <v>1</v>
      </c>
      <c r="BJ36" t="s">
        <v>65</v>
      </c>
      <c r="BM36">
        <v>22001</v>
      </c>
      <c r="BN36">
        <v>0</v>
      </c>
      <c r="BO36" t="s">
        <v>3</v>
      </c>
      <c r="BP36">
        <v>0</v>
      </c>
      <c r="BQ36">
        <v>2</v>
      </c>
      <c r="BR36">
        <v>0</v>
      </c>
      <c r="BS36">
        <v>28.93</v>
      </c>
      <c r="BT36">
        <v>1</v>
      </c>
      <c r="BU36">
        <v>1</v>
      </c>
      <c r="BV36">
        <v>1</v>
      </c>
      <c r="BW36">
        <v>1</v>
      </c>
      <c r="BX36">
        <v>1</v>
      </c>
      <c r="BY36" t="s">
        <v>3</v>
      </c>
      <c r="BZ36">
        <v>117</v>
      </c>
      <c r="CA36">
        <v>74</v>
      </c>
      <c r="CB36" t="s">
        <v>3</v>
      </c>
      <c r="CE36">
        <v>0</v>
      </c>
      <c r="CF36">
        <v>0</v>
      </c>
      <c r="CG36">
        <v>0</v>
      </c>
      <c r="CM36">
        <v>0</v>
      </c>
      <c r="CN36" t="s">
        <v>3</v>
      </c>
      <c r="CO36">
        <v>0</v>
      </c>
      <c r="CP36">
        <f t="shared" si="39"/>
        <v>1530.04</v>
      </c>
      <c r="CQ36">
        <f t="shared" si="40"/>
        <v>159128.16</v>
      </c>
      <c r="CR36">
        <f t="shared" si="41"/>
        <v>7345.81</v>
      </c>
      <c r="CS36">
        <f t="shared" si="42"/>
        <v>769.74</v>
      </c>
      <c r="CT36">
        <f t="shared" si="43"/>
        <v>3530.9</v>
      </c>
      <c r="CU36">
        <f t="shared" si="44"/>
        <v>0</v>
      </c>
      <c r="CV36">
        <f t="shared" si="45"/>
        <v>395.39759999999995</v>
      </c>
      <c r="CW36">
        <f t="shared" si="46"/>
        <v>60.637199999999993</v>
      </c>
      <c r="CX36">
        <f t="shared" si="47"/>
        <v>0</v>
      </c>
      <c r="CY36">
        <f t="shared" si="48"/>
        <v>45.290699999999994</v>
      </c>
      <c r="CZ36">
        <f t="shared" si="49"/>
        <v>28.645399999999999</v>
      </c>
      <c r="DC36" t="s">
        <v>3</v>
      </c>
      <c r="DD36" t="s">
        <v>3</v>
      </c>
      <c r="DE36" t="s">
        <v>66</v>
      </c>
      <c r="DF36" t="s">
        <v>66</v>
      </c>
      <c r="DG36" t="s">
        <v>66</v>
      </c>
      <c r="DH36" t="s">
        <v>3</v>
      </c>
      <c r="DI36" t="s">
        <v>66</v>
      </c>
      <c r="DJ36" t="s">
        <v>66</v>
      </c>
      <c r="DK36" t="s">
        <v>3</v>
      </c>
      <c r="DL36" t="s">
        <v>3</v>
      </c>
      <c r="DM36" t="s">
        <v>3</v>
      </c>
      <c r="DN36">
        <v>0</v>
      </c>
      <c r="DO36">
        <v>0</v>
      </c>
      <c r="DP36">
        <v>1</v>
      </c>
      <c r="DQ36">
        <v>1</v>
      </c>
      <c r="DU36">
        <v>1013</v>
      </c>
      <c r="DV36" t="s">
        <v>64</v>
      </c>
      <c r="DW36" t="s">
        <v>64</v>
      </c>
      <c r="DX36">
        <v>1</v>
      </c>
      <c r="DZ36" t="s">
        <v>3</v>
      </c>
      <c r="EA36" t="s">
        <v>3</v>
      </c>
      <c r="EB36" t="s">
        <v>3</v>
      </c>
      <c r="EC36" t="s">
        <v>3</v>
      </c>
      <c r="EE36">
        <v>41328321</v>
      </c>
      <c r="EF36">
        <v>2</v>
      </c>
      <c r="EG36" t="s">
        <v>21</v>
      </c>
      <c r="EH36">
        <v>18</v>
      </c>
      <c r="EI36" t="s">
        <v>67</v>
      </c>
      <c r="EJ36">
        <v>1</v>
      </c>
      <c r="EK36">
        <v>22001</v>
      </c>
      <c r="EL36" t="s">
        <v>67</v>
      </c>
      <c r="EM36" t="s">
        <v>68</v>
      </c>
      <c r="EO36" t="s">
        <v>3</v>
      </c>
      <c r="EQ36">
        <v>131072</v>
      </c>
      <c r="ER36">
        <v>167009.82999999999</v>
      </c>
      <c r="ES36">
        <v>159128.16</v>
      </c>
      <c r="ET36">
        <v>5323.05</v>
      </c>
      <c r="EU36">
        <v>557.78</v>
      </c>
      <c r="EV36">
        <v>2558.62</v>
      </c>
      <c r="EW36">
        <v>286.52</v>
      </c>
      <c r="EX36">
        <v>43.94</v>
      </c>
      <c r="EY36">
        <v>0</v>
      </c>
      <c r="FQ36">
        <v>0</v>
      </c>
      <c r="FR36">
        <f t="shared" si="50"/>
        <v>0</v>
      </c>
      <c r="FS36">
        <v>0</v>
      </c>
      <c r="FX36">
        <v>117</v>
      </c>
      <c r="FY36">
        <v>74</v>
      </c>
      <c r="GA36" t="s">
        <v>3</v>
      </c>
      <c r="GD36">
        <v>1</v>
      </c>
      <c r="GF36">
        <v>-1559531256</v>
      </c>
      <c r="GG36">
        <v>2</v>
      </c>
      <c r="GH36">
        <v>1</v>
      </c>
      <c r="GI36">
        <v>4</v>
      </c>
      <c r="GJ36">
        <v>0</v>
      </c>
      <c r="GK36">
        <v>0</v>
      </c>
      <c r="GL36">
        <f t="shared" si="51"/>
        <v>0</v>
      </c>
      <c r="GM36">
        <f t="shared" si="52"/>
        <v>1603.98</v>
      </c>
      <c r="GN36">
        <f t="shared" si="53"/>
        <v>1603.98</v>
      </c>
      <c r="GO36">
        <f t="shared" si="54"/>
        <v>0</v>
      </c>
      <c r="GP36">
        <f t="shared" si="55"/>
        <v>0</v>
      </c>
      <c r="GR36">
        <v>0</v>
      </c>
      <c r="GS36">
        <v>3</v>
      </c>
      <c r="GT36">
        <v>0</v>
      </c>
      <c r="GU36" t="s">
        <v>3</v>
      </c>
      <c r="GV36">
        <f t="shared" si="56"/>
        <v>0</v>
      </c>
      <c r="GW36">
        <v>1</v>
      </c>
      <c r="GX36">
        <f t="shared" si="57"/>
        <v>0</v>
      </c>
      <c r="HA36">
        <v>0</v>
      </c>
      <c r="HB36">
        <v>0</v>
      </c>
      <c r="HC36">
        <f t="shared" si="58"/>
        <v>0</v>
      </c>
      <c r="HE36" t="s">
        <v>3</v>
      </c>
      <c r="HF36" t="s">
        <v>3</v>
      </c>
      <c r="HI36">
        <f t="shared" si="59"/>
        <v>200.48</v>
      </c>
      <c r="HJ36">
        <f t="shared" si="60"/>
        <v>919.4</v>
      </c>
      <c r="HK36">
        <f t="shared" si="61"/>
        <v>1310.26</v>
      </c>
      <c r="HL36">
        <f t="shared" si="62"/>
        <v>828.71</v>
      </c>
      <c r="HM36" t="s">
        <v>3</v>
      </c>
      <c r="HN36" t="s">
        <v>69</v>
      </c>
      <c r="HO36" t="s">
        <v>70</v>
      </c>
      <c r="HP36" t="s">
        <v>67</v>
      </c>
      <c r="HQ36" t="s">
        <v>67</v>
      </c>
      <c r="IK36">
        <v>0</v>
      </c>
    </row>
    <row r="37" spans="1:245">
      <c r="A37">
        <v>17</v>
      </c>
      <c r="B37">
        <v>1</v>
      </c>
      <c r="C37">
        <f>ROW(SmtRes!A28)</f>
        <v>28</v>
      </c>
      <c r="D37">
        <f>ROW(EtalonRes!A28)</f>
        <v>28</v>
      </c>
      <c r="E37" t="s">
        <v>71</v>
      </c>
      <c r="F37" t="s">
        <v>72</v>
      </c>
      <c r="G37" t="s">
        <v>73</v>
      </c>
      <c r="H37" t="s">
        <v>74</v>
      </c>
      <c r="I37">
        <f>ROUND(340/100,7)</f>
        <v>3.4</v>
      </c>
      <c r="J37">
        <v>0</v>
      </c>
      <c r="K37">
        <f>ROUND(340/100,7)</f>
        <v>3.4</v>
      </c>
      <c r="O37">
        <f t="shared" si="21"/>
        <v>8046.75</v>
      </c>
      <c r="P37">
        <f t="shared" si="22"/>
        <v>6597.87</v>
      </c>
      <c r="Q37">
        <f t="shared" si="23"/>
        <v>0</v>
      </c>
      <c r="R37">
        <f t="shared" si="24"/>
        <v>0</v>
      </c>
      <c r="S37">
        <f t="shared" si="25"/>
        <v>1448.88</v>
      </c>
      <c r="T37">
        <f t="shared" si="26"/>
        <v>0</v>
      </c>
      <c r="U37">
        <f t="shared" si="27"/>
        <v>187.67999999999998</v>
      </c>
      <c r="V37">
        <f t="shared" si="28"/>
        <v>0</v>
      </c>
      <c r="W37">
        <f t="shared" si="29"/>
        <v>0</v>
      </c>
      <c r="X37">
        <f t="shared" si="30"/>
        <v>1492.35</v>
      </c>
      <c r="Y37">
        <f t="shared" si="31"/>
        <v>1043.19</v>
      </c>
      <c r="AA37">
        <v>47920234</v>
      </c>
      <c r="AB37">
        <f t="shared" si="32"/>
        <v>2366.69</v>
      </c>
      <c r="AC37">
        <f t="shared" si="33"/>
        <v>1940.55</v>
      </c>
      <c r="AD37">
        <f>ROUND(((((ET37*ROUND((1.15*1.2),7)))-((EU37*ROUND((1.15*1.2),7))))+AE37),2)</f>
        <v>0</v>
      </c>
      <c r="AE37">
        <f>ROUND(((EU37*ROUND((1.15*1.2),7))),2)</f>
        <v>0</v>
      </c>
      <c r="AF37">
        <f>ROUND(((EV37*ROUND((1.15*1.2),7))),2)</f>
        <v>426.14</v>
      </c>
      <c r="AG37">
        <f t="shared" si="36"/>
        <v>0</v>
      </c>
      <c r="AH37">
        <f>((EW37*ROUND((1.15*1.2),7)))</f>
        <v>55.199999999999996</v>
      </c>
      <c r="AI37">
        <f>((EX37*ROUND((1.15*1.2),7)))</f>
        <v>0</v>
      </c>
      <c r="AJ37">
        <f t="shared" si="38"/>
        <v>0</v>
      </c>
      <c r="AK37">
        <v>2249.35</v>
      </c>
      <c r="AL37">
        <v>1940.55</v>
      </c>
      <c r="AM37">
        <v>0</v>
      </c>
      <c r="AN37">
        <v>0</v>
      </c>
      <c r="AO37">
        <v>308.8</v>
      </c>
      <c r="AP37">
        <v>0</v>
      </c>
      <c r="AQ37">
        <v>40</v>
      </c>
      <c r="AR37">
        <v>0</v>
      </c>
      <c r="AS37">
        <v>0</v>
      </c>
      <c r="AT37">
        <v>103</v>
      </c>
      <c r="AU37">
        <v>72</v>
      </c>
      <c r="AV37">
        <v>1</v>
      </c>
      <c r="AW37">
        <v>1</v>
      </c>
      <c r="AZ37">
        <v>1</v>
      </c>
      <c r="BA37">
        <v>28.93</v>
      </c>
      <c r="BB37">
        <v>1</v>
      </c>
      <c r="BC37">
        <v>1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1</v>
      </c>
      <c r="BJ37" t="s">
        <v>75</v>
      </c>
      <c r="BM37">
        <v>47001</v>
      </c>
      <c r="BN37">
        <v>0</v>
      </c>
      <c r="BO37" t="s">
        <v>3</v>
      </c>
      <c r="BP37">
        <v>0</v>
      </c>
      <c r="BQ37">
        <v>2</v>
      </c>
      <c r="BR37">
        <v>0</v>
      </c>
      <c r="BS37">
        <v>28.93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103</v>
      </c>
      <c r="CA37">
        <v>72</v>
      </c>
      <c r="CB37" t="s">
        <v>3</v>
      </c>
      <c r="CE37">
        <v>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9"/>
        <v>8046.75</v>
      </c>
      <c r="CQ37">
        <f t="shared" si="40"/>
        <v>1940.55</v>
      </c>
      <c r="CR37">
        <f t="shared" si="41"/>
        <v>0</v>
      </c>
      <c r="CS37">
        <f t="shared" si="42"/>
        <v>0</v>
      </c>
      <c r="CT37">
        <f t="shared" si="43"/>
        <v>426.14</v>
      </c>
      <c r="CU37">
        <f t="shared" si="44"/>
        <v>0</v>
      </c>
      <c r="CV37">
        <f t="shared" si="45"/>
        <v>55.199999999999996</v>
      </c>
      <c r="CW37">
        <f t="shared" si="46"/>
        <v>0</v>
      </c>
      <c r="CX37">
        <f t="shared" si="47"/>
        <v>0</v>
      </c>
      <c r="CY37">
        <f t="shared" si="48"/>
        <v>1492.3464000000001</v>
      </c>
      <c r="CZ37">
        <f t="shared" si="49"/>
        <v>1043.1936000000001</v>
      </c>
      <c r="DC37" t="s">
        <v>3</v>
      </c>
      <c r="DD37" t="s">
        <v>3</v>
      </c>
      <c r="DE37" t="s">
        <v>66</v>
      </c>
      <c r="DF37" t="s">
        <v>66</v>
      </c>
      <c r="DG37" t="s">
        <v>66</v>
      </c>
      <c r="DH37" t="s">
        <v>3</v>
      </c>
      <c r="DI37" t="s">
        <v>66</v>
      </c>
      <c r="DJ37" t="s">
        <v>66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1005</v>
      </c>
      <c r="DV37" t="s">
        <v>74</v>
      </c>
      <c r="DW37" t="s">
        <v>74</v>
      </c>
      <c r="DX37">
        <v>100</v>
      </c>
      <c r="DZ37" t="s">
        <v>3</v>
      </c>
      <c r="EA37" t="s">
        <v>3</v>
      </c>
      <c r="EB37" t="s">
        <v>3</v>
      </c>
      <c r="EC37" t="s">
        <v>3</v>
      </c>
      <c r="EE37">
        <v>41328367</v>
      </c>
      <c r="EF37">
        <v>2</v>
      </c>
      <c r="EG37" t="s">
        <v>21</v>
      </c>
      <c r="EH37">
        <v>41</v>
      </c>
      <c r="EI37" t="s">
        <v>76</v>
      </c>
      <c r="EJ37">
        <v>1</v>
      </c>
      <c r="EK37">
        <v>47001</v>
      </c>
      <c r="EL37" t="s">
        <v>76</v>
      </c>
      <c r="EM37" t="s">
        <v>77</v>
      </c>
      <c r="EO37" t="s">
        <v>3</v>
      </c>
      <c r="EQ37">
        <v>131072</v>
      </c>
      <c r="ER37">
        <v>2249.35</v>
      </c>
      <c r="ES37">
        <v>1940.55</v>
      </c>
      <c r="ET37">
        <v>0</v>
      </c>
      <c r="EU37">
        <v>0</v>
      </c>
      <c r="EV37">
        <v>308.8</v>
      </c>
      <c r="EW37">
        <v>40</v>
      </c>
      <c r="EX37">
        <v>0</v>
      </c>
      <c r="EY37">
        <v>0</v>
      </c>
      <c r="FQ37">
        <v>0</v>
      </c>
      <c r="FR37">
        <f t="shared" si="50"/>
        <v>0</v>
      </c>
      <c r="FS37">
        <v>0</v>
      </c>
      <c r="FX37">
        <v>103</v>
      </c>
      <c r="FY37">
        <v>72</v>
      </c>
      <c r="GA37" t="s">
        <v>3</v>
      </c>
      <c r="GD37">
        <v>1</v>
      </c>
      <c r="GF37">
        <v>2105803338</v>
      </c>
      <c r="GG37">
        <v>2</v>
      </c>
      <c r="GH37">
        <v>1</v>
      </c>
      <c r="GI37">
        <v>4</v>
      </c>
      <c r="GJ37">
        <v>0</v>
      </c>
      <c r="GK37">
        <v>0</v>
      </c>
      <c r="GL37">
        <f t="shared" si="51"/>
        <v>0</v>
      </c>
      <c r="GM37">
        <f t="shared" si="52"/>
        <v>10582.29</v>
      </c>
      <c r="GN37">
        <f t="shared" si="53"/>
        <v>10582.29</v>
      </c>
      <c r="GO37">
        <f t="shared" si="54"/>
        <v>0</v>
      </c>
      <c r="GP37">
        <f t="shared" si="55"/>
        <v>0</v>
      </c>
      <c r="GR37">
        <v>0</v>
      </c>
      <c r="GS37">
        <v>3</v>
      </c>
      <c r="GT37">
        <v>0</v>
      </c>
      <c r="GU37" t="s">
        <v>3</v>
      </c>
      <c r="GV37">
        <f t="shared" si="56"/>
        <v>0</v>
      </c>
      <c r="GW37">
        <v>1</v>
      </c>
      <c r="GX37">
        <f t="shared" si="57"/>
        <v>0</v>
      </c>
      <c r="HA37">
        <v>0</v>
      </c>
      <c r="HB37">
        <v>0</v>
      </c>
      <c r="HC37">
        <f t="shared" si="58"/>
        <v>0</v>
      </c>
      <c r="HE37" t="s">
        <v>3</v>
      </c>
      <c r="HF37" t="s">
        <v>3</v>
      </c>
      <c r="HI37">
        <f t="shared" si="59"/>
        <v>0</v>
      </c>
      <c r="HJ37">
        <f t="shared" si="60"/>
        <v>41916.1</v>
      </c>
      <c r="HK37">
        <f t="shared" si="61"/>
        <v>43173.58</v>
      </c>
      <c r="HL37">
        <f t="shared" si="62"/>
        <v>30179.59</v>
      </c>
      <c r="HM37" t="s">
        <v>3</v>
      </c>
      <c r="HN37" t="s">
        <v>78</v>
      </c>
      <c r="HO37" t="s">
        <v>79</v>
      </c>
      <c r="HP37" t="s">
        <v>76</v>
      </c>
      <c r="HQ37" t="s">
        <v>76</v>
      </c>
      <c r="IK37">
        <v>0</v>
      </c>
    </row>
    <row r="38" spans="1:245">
      <c r="A38">
        <v>17</v>
      </c>
      <c r="B38">
        <v>1</v>
      </c>
      <c r="C38">
        <f>ROW(SmtRes!A31)</f>
        <v>31</v>
      </c>
      <c r="D38">
        <f>ROW(EtalonRes!A31)</f>
        <v>31</v>
      </c>
      <c r="E38" t="s">
        <v>80</v>
      </c>
      <c r="F38" t="s">
        <v>81</v>
      </c>
      <c r="G38" t="s">
        <v>82</v>
      </c>
      <c r="H38" t="s">
        <v>74</v>
      </c>
      <c r="I38">
        <f>ROUND(-340/100,7)</f>
        <v>-3.4</v>
      </c>
      <c r="J38">
        <v>0</v>
      </c>
      <c r="K38">
        <f>ROUND(-340/100,7)</f>
        <v>-3.4</v>
      </c>
      <c r="O38">
        <f t="shared" si="21"/>
        <v>-2397.44</v>
      </c>
      <c r="P38">
        <f t="shared" si="22"/>
        <v>-2199.29</v>
      </c>
      <c r="Q38">
        <f t="shared" si="23"/>
        <v>0</v>
      </c>
      <c r="R38">
        <f t="shared" si="24"/>
        <v>0</v>
      </c>
      <c r="S38">
        <f t="shared" si="25"/>
        <v>-198.15</v>
      </c>
      <c r="T38">
        <f t="shared" si="26"/>
        <v>0</v>
      </c>
      <c r="U38">
        <f t="shared" si="27"/>
        <v>-25.665239999999994</v>
      </c>
      <c r="V38">
        <f t="shared" si="28"/>
        <v>0</v>
      </c>
      <c r="W38">
        <f t="shared" si="29"/>
        <v>0</v>
      </c>
      <c r="X38">
        <f t="shared" si="30"/>
        <v>-204.09</v>
      </c>
      <c r="Y38">
        <f t="shared" si="31"/>
        <v>-142.66999999999999</v>
      </c>
      <c r="AA38">
        <v>47920234</v>
      </c>
      <c r="AB38">
        <f t="shared" si="32"/>
        <v>705.13</v>
      </c>
      <c r="AC38">
        <f t="shared" si="33"/>
        <v>646.85</v>
      </c>
      <c r="AD38">
        <f>ROUND(((((ET38*ROUND((1.2*1.15),7)))-((EU38*ROUND((1.2*1.15),7))))+AE38),2)</f>
        <v>0</v>
      </c>
      <c r="AE38">
        <f>ROUND(((EU38*ROUND((1.2*1.15),7))),2)</f>
        <v>0</v>
      </c>
      <c r="AF38">
        <f>ROUND(((EV38*ROUND((1.2*1.15),7))),2)</f>
        <v>58.28</v>
      </c>
      <c r="AG38">
        <f t="shared" si="36"/>
        <v>0</v>
      </c>
      <c r="AH38">
        <f>((EW38*ROUND((1.2*1.15),7)))</f>
        <v>7.5485999999999986</v>
      </c>
      <c r="AI38">
        <f>((EX38*ROUND((1.2*1.15),7)))</f>
        <v>0</v>
      </c>
      <c r="AJ38">
        <f t="shared" si="38"/>
        <v>0</v>
      </c>
      <c r="AK38">
        <v>689.08</v>
      </c>
      <c r="AL38">
        <v>646.85</v>
      </c>
      <c r="AM38">
        <v>0</v>
      </c>
      <c r="AN38">
        <v>0</v>
      </c>
      <c r="AO38">
        <v>42.23</v>
      </c>
      <c r="AP38">
        <v>0</v>
      </c>
      <c r="AQ38">
        <v>5.47</v>
      </c>
      <c r="AR38">
        <v>0</v>
      </c>
      <c r="AS38">
        <v>0</v>
      </c>
      <c r="AT38">
        <v>103</v>
      </c>
      <c r="AU38">
        <v>72</v>
      </c>
      <c r="AV38">
        <v>1</v>
      </c>
      <c r="AW38">
        <v>1</v>
      </c>
      <c r="AZ38">
        <v>1</v>
      </c>
      <c r="BA38">
        <v>28.93</v>
      </c>
      <c r="BB38">
        <v>1</v>
      </c>
      <c r="BC38">
        <v>1</v>
      </c>
      <c r="BD38" t="s">
        <v>3</v>
      </c>
      <c r="BE38" t="s">
        <v>3</v>
      </c>
      <c r="BF38" t="s">
        <v>3</v>
      </c>
      <c r="BG38" t="s">
        <v>3</v>
      </c>
      <c r="BH38">
        <v>0</v>
      </c>
      <c r="BI38">
        <v>1</v>
      </c>
      <c r="BJ38" t="s">
        <v>83</v>
      </c>
      <c r="BM38">
        <v>47001</v>
      </c>
      <c r="BN38">
        <v>0</v>
      </c>
      <c r="BO38" t="s">
        <v>3</v>
      </c>
      <c r="BP38">
        <v>0</v>
      </c>
      <c r="BQ38">
        <v>2</v>
      </c>
      <c r="BR38">
        <v>0</v>
      </c>
      <c r="BS38">
        <v>28.93</v>
      </c>
      <c r="BT38">
        <v>1</v>
      </c>
      <c r="BU38">
        <v>1</v>
      </c>
      <c r="BV38">
        <v>1</v>
      </c>
      <c r="BW38">
        <v>1</v>
      </c>
      <c r="BX38">
        <v>1</v>
      </c>
      <c r="BY38" t="s">
        <v>3</v>
      </c>
      <c r="BZ38">
        <v>103</v>
      </c>
      <c r="CA38">
        <v>72</v>
      </c>
      <c r="CB38" t="s">
        <v>3</v>
      </c>
      <c r="CE38">
        <v>0</v>
      </c>
      <c r="CF38">
        <v>0</v>
      </c>
      <c r="CG38">
        <v>0</v>
      </c>
      <c r="CM38">
        <v>0</v>
      </c>
      <c r="CN38" t="s">
        <v>3</v>
      </c>
      <c r="CO38">
        <v>0</v>
      </c>
      <c r="CP38">
        <f t="shared" si="39"/>
        <v>-2397.44</v>
      </c>
      <c r="CQ38">
        <f t="shared" si="40"/>
        <v>646.85</v>
      </c>
      <c r="CR38">
        <f t="shared" si="41"/>
        <v>0</v>
      </c>
      <c r="CS38">
        <f t="shared" si="42"/>
        <v>0</v>
      </c>
      <c r="CT38">
        <f t="shared" si="43"/>
        <v>58.28</v>
      </c>
      <c r="CU38">
        <f t="shared" si="44"/>
        <v>0</v>
      </c>
      <c r="CV38">
        <f t="shared" si="45"/>
        <v>7.5485999999999986</v>
      </c>
      <c r="CW38">
        <f t="shared" si="46"/>
        <v>0</v>
      </c>
      <c r="CX38">
        <f t="shared" si="47"/>
        <v>0</v>
      </c>
      <c r="CY38">
        <f t="shared" si="48"/>
        <v>-204.09450000000001</v>
      </c>
      <c r="CZ38">
        <f t="shared" si="49"/>
        <v>-142.66800000000001</v>
      </c>
      <c r="DC38" t="s">
        <v>3</v>
      </c>
      <c r="DD38" t="s">
        <v>3</v>
      </c>
      <c r="DE38" t="s">
        <v>20</v>
      </c>
      <c r="DF38" t="s">
        <v>20</v>
      </c>
      <c r="DG38" t="s">
        <v>20</v>
      </c>
      <c r="DH38" t="s">
        <v>3</v>
      </c>
      <c r="DI38" t="s">
        <v>20</v>
      </c>
      <c r="DJ38" t="s">
        <v>20</v>
      </c>
      <c r="DK38" t="s">
        <v>3</v>
      </c>
      <c r="DL38" t="s">
        <v>3</v>
      </c>
      <c r="DM38" t="s">
        <v>3</v>
      </c>
      <c r="DN38">
        <v>0</v>
      </c>
      <c r="DO38">
        <v>0</v>
      </c>
      <c r="DP38">
        <v>1</v>
      </c>
      <c r="DQ38">
        <v>1</v>
      </c>
      <c r="DU38">
        <v>1005</v>
      </c>
      <c r="DV38" t="s">
        <v>74</v>
      </c>
      <c r="DW38" t="s">
        <v>74</v>
      </c>
      <c r="DX38">
        <v>100</v>
      </c>
      <c r="DZ38" t="s">
        <v>3</v>
      </c>
      <c r="EA38" t="s">
        <v>3</v>
      </c>
      <c r="EB38" t="s">
        <v>3</v>
      </c>
      <c r="EC38" t="s">
        <v>3</v>
      </c>
      <c r="EE38">
        <v>41328367</v>
      </c>
      <c r="EF38">
        <v>2</v>
      </c>
      <c r="EG38" t="s">
        <v>21</v>
      </c>
      <c r="EH38">
        <v>41</v>
      </c>
      <c r="EI38" t="s">
        <v>76</v>
      </c>
      <c r="EJ38">
        <v>1</v>
      </c>
      <c r="EK38">
        <v>47001</v>
      </c>
      <c r="EL38" t="s">
        <v>76</v>
      </c>
      <c r="EM38" t="s">
        <v>77</v>
      </c>
      <c r="EO38" t="s">
        <v>3</v>
      </c>
      <c r="EQ38">
        <v>131072</v>
      </c>
      <c r="ER38">
        <v>689.08</v>
      </c>
      <c r="ES38">
        <v>646.85</v>
      </c>
      <c r="ET38">
        <v>0</v>
      </c>
      <c r="EU38">
        <v>0</v>
      </c>
      <c r="EV38">
        <v>42.23</v>
      </c>
      <c r="EW38">
        <v>5.47</v>
      </c>
      <c r="EX38">
        <v>0</v>
      </c>
      <c r="EY38">
        <v>0</v>
      </c>
      <c r="FQ38">
        <v>0</v>
      </c>
      <c r="FR38">
        <f t="shared" si="50"/>
        <v>0</v>
      </c>
      <c r="FS38">
        <v>0</v>
      </c>
      <c r="FX38">
        <v>103</v>
      </c>
      <c r="FY38">
        <v>72</v>
      </c>
      <c r="GA38" t="s">
        <v>3</v>
      </c>
      <c r="GD38">
        <v>1</v>
      </c>
      <c r="GF38">
        <v>1242636498</v>
      </c>
      <c r="GG38">
        <v>2</v>
      </c>
      <c r="GH38">
        <v>1</v>
      </c>
      <c r="GI38">
        <v>4</v>
      </c>
      <c r="GJ38">
        <v>0</v>
      </c>
      <c r="GK38">
        <v>0</v>
      </c>
      <c r="GL38">
        <f t="shared" si="51"/>
        <v>0</v>
      </c>
      <c r="GM38">
        <f t="shared" si="52"/>
        <v>-2744.2</v>
      </c>
      <c r="GN38">
        <f t="shared" si="53"/>
        <v>-2744.2</v>
      </c>
      <c r="GO38">
        <f t="shared" si="54"/>
        <v>0</v>
      </c>
      <c r="GP38">
        <f t="shared" si="55"/>
        <v>0</v>
      </c>
      <c r="GR38">
        <v>0</v>
      </c>
      <c r="GS38">
        <v>3</v>
      </c>
      <c r="GT38">
        <v>0</v>
      </c>
      <c r="GU38" t="s">
        <v>3</v>
      </c>
      <c r="GV38">
        <f t="shared" si="56"/>
        <v>0</v>
      </c>
      <c r="GW38">
        <v>1</v>
      </c>
      <c r="GX38">
        <f t="shared" si="57"/>
        <v>0</v>
      </c>
      <c r="HA38">
        <v>0</v>
      </c>
      <c r="HB38">
        <v>0</v>
      </c>
      <c r="HC38">
        <f t="shared" si="58"/>
        <v>0</v>
      </c>
      <c r="HE38" t="s">
        <v>3</v>
      </c>
      <c r="HF38" t="s">
        <v>3</v>
      </c>
      <c r="HI38">
        <f t="shared" si="59"/>
        <v>0</v>
      </c>
      <c r="HJ38">
        <f t="shared" si="60"/>
        <v>-5732.48</v>
      </c>
      <c r="HK38">
        <f t="shared" si="61"/>
        <v>-5904.45</v>
      </c>
      <c r="HL38">
        <f t="shared" si="62"/>
        <v>-4127.3900000000003</v>
      </c>
      <c r="HM38" t="s">
        <v>3</v>
      </c>
      <c r="HN38" t="s">
        <v>78</v>
      </c>
      <c r="HO38" t="s">
        <v>79</v>
      </c>
      <c r="HP38" t="s">
        <v>76</v>
      </c>
      <c r="HQ38" t="s">
        <v>76</v>
      </c>
      <c r="IK38">
        <v>0</v>
      </c>
    </row>
    <row r="40" spans="1:245">
      <c r="A40" s="2">
        <v>51</v>
      </c>
      <c r="B40" s="2">
        <f>B24</f>
        <v>1</v>
      </c>
      <c r="C40" s="2">
        <f>A24</f>
        <v>4</v>
      </c>
      <c r="D40" s="2">
        <f>ROW(A24)</f>
        <v>24</v>
      </c>
      <c r="E40" s="2"/>
      <c r="F40" s="2" t="str">
        <f>IF(F24&lt;&gt;"",F24,"")</f>
        <v>Новый раздел</v>
      </c>
      <c r="G40" s="2" t="str">
        <f>IF(G24&lt;&gt;"",G24,"")</f>
        <v>Земляные работы</v>
      </c>
      <c r="H40" s="2">
        <v>0</v>
      </c>
      <c r="I40" s="2"/>
      <c r="J40" s="2"/>
      <c r="K40" s="2"/>
      <c r="L40" s="2"/>
      <c r="M40" s="2"/>
      <c r="N40" s="2"/>
      <c r="O40" s="2">
        <f t="shared" ref="O40:T40" si="63">ROUND(AB40,2)</f>
        <v>9326.6200000000008</v>
      </c>
      <c r="P40" s="2">
        <f t="shared" si="63"/>
        <v>5830.73</v>
      </c>
      <c r="Q40" s="2">
        <f t="shared" si="63"/>
        <v>1612.63</v>
      </c>
      <c r="R40" s="2">
        <f t="shared" si="63"/>
        <v>81.209999999999994</v>
      </c>
      <c r="S40" s="2">
        <f t="shared" si="63"/>
        <v>1883.26</v>
      </c>
      <c r="T40" s="2">
        <f t="shared" si="63"/>
        <v>0</v>
      </c>
      <c r="U40" s="2">
        <f>AH40</f>
        <v>245.21150999999998</v>
      </c>
      <c r="V40" s="2">
        <f>AI40</f>
        <v>8.8618149999999982</v>
      </c>
      <c r="W40" s="2">
        <f>ROUND(AJ40,2)</f>
        <v>0</v>
      </c>
      <c r="X40" s="2">
        <f>ROUND(AK40,2)</f>
        <v>1936.86</v>
      </c>
      <c r="Y40" s="2">
        <f>ROUND(AL40,2)</f>
        <v>1204.22</v>
      </c>
      <c r="Z40" s="2"/>
      <c r="AA40" s="2"/>
      <c r="AB40" s="2">
        <f>ROUND(SUMIF(AA28:AA38,"=47920234",O28:O38),2)</f>
        <v>9326.6200000000008</v>
      </c>
      <c r="AC40" s="2">
        <f>ROUND(SUMIF(AA28:AA38,"=47920234",P28:P38),2)</f>
        <v>5830.73</v>
      </c>
      <c r="AD40" s="2">
        <f>ROUND(SUMIF(AA28:AA38,"=47920234",Q28:Q38),2)</f>
        <v>1612.63</v>
      </c>
      <c r="AE40" s="2">
        <f>ROUND(SUMIF(AA28:AA38,"=47920234",R28:R38),2)</f>
        <v>81.209999999999994</v>
      </c>
      <c r="AF40" s="2">
        <f>ROUND(SUMIF(AA28:AA38,"=47920234",S28:S38),2)</f>
        <v>1883.26</v>
      </c>
      <c r="AG40" s="2">
        <f>ROUND(SUMIF(AA28:AA38,"=47920234",T28:T38),2)</f>
        <v>0</v>
      </c>
      <c r="AH40" s="2">
        <f>SUMIF(AA28:AA38,"=47920234",U28:U38)</f>
        <v>245.21150999999998</v>
      </c>
      <c r="AI40" s="2">
        <f>SUMIF(AA28:AA38,"=47920234",V28:V38)</f>
        <v>8.8618149999999982</v>
      </c>
      <c r="AJ40" s="2">
        <f>ROUND(SUMIF(AA28:AA38,"=47920234",W28:W38),2)</f>
        <v>0</v>
      </c>
      <c r="AK40" s="2">
        <f>ROUND(SUMIF(AA28:AA38,"=47920234",X28:X38),2)</f>
        <v>1936.86</v>
      </c>
      <c r="AL40" s="2">
        <f>ROUND(SUMIF(AA28:AA38,"=47920234",Y28:Y38),2)</f>
        <v>1204.22</v>
      </c>
      <c r="AM40" s="2"/>
      <c r="AN40" s="2"/>
      <c r="AO40" s="2">
        <f t="shared" ref="AO40:BD40" si="64">ROUND(BX40,2)</f>
        <v>0</v>
      </c>
      <c r="AP40" s="2">
        <f t="shared" si="64"/>
        <v>0</v>
      </c>
      <c r="AQ40" s="2">
        <f t="shared" si="64"/>
        <v>0</v>
      </c>
      <c r="AR40" s="2">
        <f t="shared" si="64"/>
        <v>12467.7</v>
      </c>
      <c r="AS40" s="2">
        <f t="shared" si="64"/>
        <v>12467.7</v>
      </c>
      <c r="AT40" s="2">
        <f t="shared" si="64"/>
        <v>0</v>
      </c>
      <c r="AU40" s="2">
        <f t="shared" si="64"/>
        <v>0</v>
      </c>
      <c r="AV40" s="2">
        <f t="shared" si="64"/>
        <v>5830.73</v>
      </c>
      <c r="AW40" s="2">
        <f t="shared" si="64"/>
        <v>5830.73</v>
      </c>
      <c r="AX40" s="2">
        <f t="shared" si="64"/>
        <v>0</v>
      </c>
      <c r="AY40" s="2">
        <f t="shared" si="64"/>
        <v>5830.73</v>
      </c>
      <c r="AZ40" s="2">
        <f t="shared" si="64"/>
        <v>0</v>
      </c>
      <c r="BA40" s="2">
        <f t="shared" si="64"/>
        <v>0</v>
      </c>
      <c r="BB40" s="2">
        <f t="shared" si="64"/>
        <v>0</v>
      </c>
      <c r="BC40" s="2">
        <f t="shared" si="64"/>
        <v>0</v>
      </c>
      <c r="BD40" s="2">
        <f t="shared" si="64"/>
        <v>1032.04</v>
      </c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>
        <f>ROUND(SUMIF(AA28:AA38,"=47920234",FQ28:FQ38),2)</f>
        <v>0</v>
      </c>
      <c r="BY40" s="2">
        <f>ROUND(SUMIF(AA28:AA38,"=47920234",FR28:FR38),2)</f>
        <v>0</v>
      </c>
      <c r="BZ40" s="2">
        <f>ROUND(SUMIF(AA28:AA38,"=47920234",GL28:GL38),2)</f>
        <v>0</v>
      </c>
      <c r="CA40" s="2">
        <f>ROUND(SUMIF(AA28:AA38,"=47920234",GM28:GM38),2)</f>
        <v>12467.7</v>
      </c>
      <c r="CB40" s="2">
        <f>ROUND(SUMIF(AA28:AA38,"=47920234",GN28:GN38),2)</f>
        <v>12467.7</v>
      </c>
      <c r="CC40" s="2">
        <f>ROUND(SUMIF(AA28:AA38,"=47920234",GO28:GO38),2)</f>
        <v>0</v>
      </c>
      <c r="CD40" s="2">
        <f>ROUND(SUMIF(AA28:AA38,"=47920234",GP28:GP38),2)</f>
        <v>0</v>
      </c>
      <c r="CE40" s="2">
        <f>AC40-BX40</f>
        <v>5830.73</v>
      </c>
      <c r="CF40" s="2">
        <f>AC40-BY40</f>
        <v>5830.73</v>
      </c>
      <c r="CG40" s="2">
        <f>BX40-BZ40</f>
        <v>0</v>
      </c>
      <c r="CH40" s="2">
        <f>AC40-BX40-BY40+BZ40</f>
        <v>5830.73</v>
      </c>
      <c r="CI40" s="2">
        <f>BY40-BZ40</f>
        <v>0</v>
      </c>
      <c r="CJ40" s="2">
        <f>ROUND(SUMIF(AA28:AA38,"=47920234",GX28:GX38),2)</f>
        <v>0</v>
      </c>
      <c r="CK40" s="2">
        <f>ROUND(SUMIF(AA28:AA38,"=47920234",GY28:GY38),2)</f>
        <v>0</v>
      </c>
      <c r="CL40" s="2">
        <f>ROUND(SUMIF(AA28:AA38,"=47920234",GZ28:GZ38),2)</f>
        <v>0</v>
      </c>
      <c r="CM40" s="2">
        <f>ROUND(SUMIF(AA28:AA38,"=47920234",HD28:HD38),2)</f>
        <v>1032.04</v>
      </c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>
        <v>0</v>
      </c>
    </row>
    <row r="42" spans="1:245">
      <c r="A42" s="4">
        <v>50</v>
      </c>
      <c r="B42" s="4">
        <v>0</v>
      </c>
      <c r="C42" s="4">
        <v>0</v>
      </c>
      <c r="D42" s="4">
        <v>1</v>
      </c>
      <c r="E42" s="4">
        <v>0</v>
      </c>
      <c r="F42" s="4">
        <f>ROUND(Source!O40,O42)</f>
        <v>9326.6200000000008</v>
      </c>
      <c r="G42" s="4" t="s">
        <v>84</v>
      </c>
      <c r="H42" s="4" t="s">
        <v>85</v>
      </c>
      <c r="I42" s="4"/>
      <c r="J42" s="4"/>
      <c r="K42" s="4">
        <v>201</v>
      </c>
      <c r="L42" s="4">
        <v>1</v>
      </c>
      <c r="M42" s="4">
        <v>3</v>
      </c>
      <c r="N42" s="4" t="s">
        <v>3</v>
      </c>
      <c r="O42" s="4">
        <v>2</v>
      </c>
      <c r="P42" s="4"/>
      <c r="Q42" s="4"/>
      <c r="R42" s="4"/>
      <c r="S42" s="4"/>
      <c r="T42" s="4"/>
      <c r="U42" s="4"/>
      <c r="V42" s="4"/>
      <c r="W42" s="4">
        <v>9326.619999999999</v>
      </c>
      <c r="X42" s="4">
        <v>1</v>
      </c>
      <c r="Y42" s="4">
        <v>96960.48000000001</v>
      </c>
      <c r="Z42" s="4"/>
      <c r="AA42" s="4"/>
      <c r="AB42" s="4"/>
    </row>
    <row r="43" spans="1:245">
      <c r="A43" s="4">
        <v>50</v>
      </c>
      <c r="B43" s="4">
        <v>0</v>
      </c>
      <c r="C43" s="4">
        <v>0</v>
      </c>
      <c r="D43" s="4">
        <v>1</v>
      </c>
      <c r="E43" s="4">
        <v>202</v>
      </c>
      <c r="F43" s="4">
        <f>ROUND(Source!P40,O43)</f>
        <v>5830.73</v>
      </c>
      <c r="G43" s="4" t="s">
        <v>86</v>
      </c>
      <c r="H43" s="4" t="s">
        <v>87</v>
      </c>
      <c r="I43" s="4"/>
      <c r="J43" s="4"/>
      <c r="K43" s="4">
        <v>202</v>
      </c>
      <c r="L43" s="4">
        <v>2</v>
      </c>
      <c r="M43" s="4">
        <v>3</v>
      </c>
      <c r="N43" s="4" t="s">
        <v>3</v>
      </c>
      <c r="O43" s="4">
        <v>2</v>
      </c>
      <c r="P43" s="4"/>
      <c r="Q43" s="4"/>
      <c r="R43" s="4"/>
      <c r="S43" s="4"/>
      <c r="T43" s="4"/>
      <c r="U43" s="4"/>
      <c r="V43" s="4"/>
      <c r="W43" s="4">
        <v>5830.73</v>
      </c>
      <c r="X43" s="4">
        <v>1</v>
      </c>
      <c r="Y43" s="4">
        <v>0</v>
      </c>
      <c r="Z43" s="4"/>
      <c r="AA43" s="4"/>
      <c r="AB43" s="4"/>
    </row>
    <row r="44" spans="1:245">
      <c r="A44" s="4">
        <v>50</v>
      </c>
      <c r="B44" s="4">
        <v>0</v>
      </c>
      <c r="C44" s="4">
        <v>0</v>
      </c>
      <c r="D44" s="4">
        <v>1</v>
      </c>
      <c r="E44" s="4">
        <v>222</v>
      </c>
      <c r="F44" s="4">
        <f>ROUND(Source!AO40,O44)</f>
        <v>0</v>
      </c>
      <c r="G44" s="4" t="s">
        <v>88</v>
      </c>
      <c r="H44" s="4" t="s">
        <v>89</v>
      </c>
      <c r="I44" s="4"/>
      <c r="J44" s="4"/>
      <c r="K44" s="4">
        <v>222</v>
      </c>
      <c r="L44" s="4">
        <v>3</v>
      </c>
      <c r="M44" s="4">
        <v>3</v>
      </c>
      <c r="N44" s="4" t="s">
        <v>3</v>
      </c>
      <c r="O44" s="4">
        <v>2</v>
      </c>
      <c r="P44" s="4"/>
      <c r="Q44" s="4"/>
      <c r="R44" s="4"/>
      <c r="S44" s="4"/>
      <c r="T44" s="4"/>
      <c r="U44" s="4"/>
      <c r="V44" s="4"/>
      <c r="W44" s="4">
        <v>0</v>
      </c>
      <c r="X44" s="4">
        <v>1</v>
      </c>
      <c r="Y44" s="4">
        <v>0</v>
      </c>
      <c r="Z44" s="4"/>
      <c r="AA44" s="4"/>
      <c r="AB44" s="4"/>
    </row>
    <row r="45" spans="1:245">
      <c r="A45" s="4">
        <v>50</v>
      </c>
      <c r="B45" s="4">
        <v>0</v>
      </c>
      <c r="C45" s="4">
        <v>0</v>
      </c>
      <c r="D45" s="4">
        <v>1</v>
      </c>
      <c r="E45" s="4">
        <v>225</v>
      </c>
      <c r="F45" s="4">
        <f>ROUND(Source!AV40,O45)</f>
        <v>5830.73</v>
      </c>
      <c r="G45" s="4" t="s">
        <v>90</v>
      </c>
      <c r="H45" s="4" t="s">
        <v>91</v>
      </c>
      <c r="I45" s="4"/>
      <c r="J45" s="4"/>
      <c r="K45" s="4">
        <v>225</v>
      </c>
      <c r="L45" s="4">
        <v>4</v>
      </c>
      <c r="M45" s="4">
        <v>3</v>
      </c>
      <c r="N45" s="4" t="s">
        <v>3</v>
      </c>
      <c r="O45" s="4">
        <v>2</v>
      </c>
      <c r="P45" s="4"/>
      <c r="Q45" s="4"/>
      <c r="R45" s="4"/>
      <c r="S45" s="4"/>
      <c r="T45" s="4"/>
      <c r="U45" s="4"/>
      <c r="V45" s="4"/>
      <c r="W45" s="4">
        <v>5830.73</v>
      </c>
      <c r="X45" s="4">
        <v>1</v>
      </c>
      <c r="Y45" s="4">
        <v>0</v>
      </c>
      <c r="Z45" s="4"/>
      <c r="AA45" s="4"/>
      <c r="AB45" s="4"/>
    </row>
    <row r="46" spans="1:245">
      <c r="A46" s="4">
        <v>50</v>
      </c>
      <c r="B46" s="4">
        <v>0</v>
      </c>
      <c r="C46" s="4">
        <v>0</v>
      </c>
      <c r="D46" s="4">
        <v>1</v>
      </c>
      <c r="E46" s="4">
        <v>226</v>
      </c>
      <c r="F46" s="4">
        <f>ROUND(Source!AW40,O46)</f>
        <v>5830.73</v>
      </c>
      <c r="G46" s="4" t="s">
        <v>92</v>
      </c>
      <c r="H46" s="4" t="s">
        <v>93</v>
      </c>
      <c r="I46" s="4"/>
      <c r="J46" s="4"/>
      <c r="K46" s="4">
        <v>226</v>
      </c>
      <c r="L46" s="4">
        <v>5</v>
      </c>
      <c r="M46" s="4">
        <v>3</v>
      </c>
      <c r="N46" s="4" t="s">
        <v>3</v>
      </c>
      <c r="O46" s="4">
        <v>2</v>
      </c>
      <c r="P46" s="4"/>
      <c r="Q46" s="4"/>
      <c r="R46" s="4"/>
      <c r="S46" s="4"/>
      <c r="T46" s="4"/>
      <c r="U46" s="4"/>
      <c r="V46" s="4"/>
      <c r="W46" s="4">
        <v>5830.73</v>
      </c>
      <c r="X46" s="4">
        <v>1</v>
      </c>
      <c r="Y46" s="4">
        <v>30028.26</v>
      </c>
      <c r="Z46" s="4"/>
      <c r="AA46" s="4"/>
      <c r="AB46" s="4"/>
    </row>
    <row r="47" spans="1:245">
      <c r="A47" s="4">
        <v>50</v>
      </c>
      <c r="B47" s="4">
        <v>0</v>
      </c>
      <c r="C47" s="4">
        <v>0</v>
      </c>
      <c r="D47" s="4">
        <v>1</v>
      </c>
      <c r="E47" s="4">
        <v>227</v>
      </c>
      <c r="F47" s="4">
        <f>ROUND(Source!AX40,O47)</f>
        <v>0</v>
      </c>
      <c r="G47" s="4" t="s">
        <v>94</v>
      </c>
      <c r="H47" s="4" t="s">
        <v>95</v>
      </c>
      <c r="I47" s="4"/>
      <c r="J47" s="4"/>
      <c r="K47" s="4">
        <v>227</v>
      </c>
      <c r="L47" s="4">
        <v>6</v>
      </c>
      <c r="M47" s="4">
        <v>3</v>
      </c>
      <c r="N47" s="4" t="s">
        <v>3</v>
      </c>
      <c r="O47" s="4">
        <v>2</v>
      </c>
      <c r="P47" s="4"/>
      <c r="Q47" s="4"/>
      <c r="R47" s="4"/>
      <c r="S47" s="4"/>
      <c r="T47" s="4"/>
      <c r="U47" s="4"/>
      <c r="V47" s="4"/>
      <c r="W47" s="4">
        <v>0</v>
      </c>
      <c r="X47" s="4">
        <v>1</v>
      </c>
      <c r="Y47" s="4">
        <v>0</v>
      </c>
      <c r="Z47" s="4"/>
      <c r="AA47" s="4"/>
      <c r="AB47" s="4"/>
    </row>
    <row r="48" spans="1:245">
      <c r="A48" s="4">
        <v>50</v>
      </c>
      <c r="B48" s="4">
        <v>0</v>
      </c>
      <c r="C48" s="4">
        <v>0</v>
      </c>
      <c r="D48" s="4">
        <v>1</v>
      </c>
      <c r="E48" s="4">
        <v>228</v>
      </c>
      <c r="F48" s="4">
        <f>ROUND(Source!AY40,O48)</f>
        <v>5830.73</v>
      </c>
      <c r="G48" s="4" t="s">
        <v>96</v>
      </c>
      <c r="H48" s="4" t="s">
        <v>97</v>
      </c>
      <c r="I48" s="4"/>
      <c r="J48" s="4"/>
      <c r="K48" s="4">
        <v>228</v>
      </c>
      <c r="L48" s="4">
        <v>7</v>
      </c>
      <c r="M48" s="4">
        <v>3</v>
      </c>
      <c r="N48" s="4" t="s">
        <v>3</v>
      </c>
      <c r="O48" s="4">
        <v>2</v>
      </c>
      <c r="P48" s="4"/>
      <c r="Q48" s="4"/>
      <c r="R48" s="4"/>
      <c r="S48" s="4"/>
      <c r="T48" s="4"/>
      <c r="U48" s="4"/>
      <c r="V48" s="4"/>
      <c r="W48" s="4">
        <v>5830.73</v>
      </c>
      <c r="X48" s="4">
        <v>1</v>
      </c>
      <c r="Y48" s="4">
        <v>30028.26</v>
      </c>
      <c r="Z48" s="4"/>
      <c r="AA48" s="4"/>
      <c r="AB48" s="4"/>
    </row>
    <row r="49" spans="1:28">
      <c r="A49" s="4">
        <v>50</v>
      </c>
      <c r="B49" s="4">
        <v>0</v>
      </c>
      <c r="C49" s="4">
        <v>0</v>
      </c>
      <c r="D49" s="4">
        <v>1</v>
      </c>
      <c r="E49" s="4">
        <v>216</v>
      </c>
      <c r="F49" s="4">
        <f>ROUND(Source!AP40,O49)</f>
        <v>0</v>
      </c>
      <c r="G49" s="4" t="s">
        <v>98</v>
      </c>
      <c r="H49" s="4" t="s">
        <v>99</v>
      </c>
      <c r="I49" s="4"/>
      <c r="J49" s="4"/>
      <c r="K49" s="4">
        <v>216</v>
      </c>
      <c r="L49" s="4">
        <v>8</v>
      </c>
      <c r="M49" s="4">
        <v>3</v>
      </c>
      <c r="N49" s="4" t="s">
        <v>3</v>
      </c>
      <c r="O49" s="4">
        <v>2</v>
      </c>
      <c r="P49" s="4"/>
      <c r="Q49" s="4"/>
      <c r="R49" s="4"/>
      <c r="S49" s="4"/>
      <c r="T49" s="4"/>
      <c r="U49" s="4"/>
      <c r="V49" s="4"/>
      <c r="W49" s="4">
        <v>0</v>
      </c>
      <c r="X49" s="4">
        <v>1</v>
      </c>
      <c r="Y49" s="4">
        <v>0</v>
      </c>
      <c r="Z49" s="4"/>
      <c r="AA49" s="4"/>
      <c r="AB49" s="4"/>
    </row>
    <row r="50" spans="1:28">
      <c r="A50" s="4">
        <v>50</v>
      </c>
      <c r="B50" s="4">
        <v>0</v>
      </c>
      <c r="C50" s="4">
        <v>0</v>
      </c>
      <c r="D50" s="4">
        <v>1</v>
      </c>
      <c r="E50" s="4">
        <v>223</v>
      </c>
      <c r="F50" s="4">
        <f>ROUND(Source!AQ40,O50)</f>
        <v>0</v>
      </c>
      <c r="G50" s="4" t="s">
        <v>100</v>
      </c>
      <c r="H50" s="4" t="s">
        <v>101</v>
      </c>
      <c r="I50" s="4"/>
      <c r="J50" s="4"/>
      <c r="K50" s="4">
        <v>223</v>
      </c>
      <c r="L50" s="4">
        <v>9</v>
      </c>
      <c r="M50" s="4">
        <v>3</v>
      </c>
      <c r="N50" s="4" t="s">
        <v>3</v>
      </c>
      <c r="O50" s="4">
        <v>2</v>
      </c>
      <c r="P50" s="4"/>
      <c r="Q50" s="4"/>
      <c r="R50" s="4"/>
      <c r="S50" s="4"/>
      <c r="T50" s="4"/>
      <c r="U50" s="4"/>
      <c r="V50" s="4"/>
      <c r="W50" s="4">
        <v>0</v>
      </c>
      <c r="X50" s="4">
        <v>1</v>
      </c>
      <c r="Y50" s="4">
        <v>0</v>
      </c>
      <c r="Z50" s="4"/>
      <c r="AA50" s="4"/>
      <c r="AB50" s="4"/>
    </row>
    <row r="51" spans="1:28">
      <c r="A51" s="4">
        <v>50</v>
      </c>
      <c r="B51" s="4">
        <v>0</v>
      </c>
      <c r="C51" s="4">
        <v>0</v>
      </c>
      <c r="D51" s="4">
        <v>1</v>
      </c>
      <c r="E51" s="4">
        <v>229</v>
      </c>
      <c r="F51" s="4">
        <f>ROUND(Source!AZ40,O51)</f>
        <v>0</v>
      </c>
      <c r="G51" s="4" t="s">
        <v>102</v>
      </c>
      <c r="H51" s="4" t="s">
        <v>103</v>
      </c>
      <c r="I51" s="4"/>
      <c r="J51" s="4"/>
      <c r="K51" s="4">
        <v>229</v>
      </c>
      <c r="L51" s="4">
        <v>10</v>
      </c>
      <c r="M51" s="4">
        <v>3</v>
      </c>
      <c r="N51" s="4" t="s">
        <v>3</v>
      </c>
      <c r="O51" s="4">
        <v>2</v>
      </c>
      <c r="P51" s="4"/>
      <c r="Q51" s="4"/>
      <c r="R51" s="4"/>
      <c r="S51" s="4"/>
      <c r="T51" s="4"/>
      <c r="U51" s="4"/>
      <c r="V51" s="4"/>
      <c r="W51" s="4">
        <v>0</v>
      </c>
      <c r="X51" s="4">
        <v>1</v>
      </c>
      <c r="Y51" s="4">
        <v>0</v>
      </c>
      <c r="Z51" s="4"/>
      <c r="AA51" s="4"/>
      <c r="AB51" s="4"/>
    </row>
    <row r="52" spans="1:28">
      <c r="A52" s="4">
        <v>50</v>
      </c>
      <c r="B52" s="4">
        <v>0</v>
      </c>
      <c r="C52" s="4">
        <v>0</v>
      </c>
      <c r="D52" s="4">
        <v>1</v>
      </c>
      <c r="E52" s="4">
        <v>203</v>
      </c>
      <c r="F52" s="4">
        <f>ROUND(Source!Q40,O52)</f>
        <v>1612.63</v>
      </c>
      <c r="G52" s="4" t="s">
        <v>104</v>
      </c>
      <c r="H52" s="4" t="s">
        <v>105</v>
      </c>
      <c r="I52" s="4"/>
      <c r="J52" s="4"/>
      <c r="K52" s="4">
        <v>203</v>
      </c>
      <c r="L52" s="4">
        <v>11</v>
      </c>
      <c r="M52" s="4">
        <v>3</v>
      </c>
      <c r="N52" s="4" t="s">
        <v>3</v>
      </c>
      <c r="O52" s="4">
        <v>2</v>
      </c>
      <c r="P52" s="4"/>
      <c r="Q52" s="4"/>
      <c r="R52" s="4"/>
      <c r="S52" s="4"/>
      <c r="T52" s="4"/>
      <c r="U52" s="4"/>
      <c r="V52" s="4"/>
      <c r="W52" s="4">
        <v>580.59</v>
      </c>
      <c r="X52" s="4">
        <v>1</v>
      </c>
      <c r="Y52" s="4">
        <v>4482.1499999999996</v>
      </c>
      <c r="Z52" s="4"/>
      <c r="AA52" s="4"/>
      <c r="AB52" s="4"/>
    </row>
    <row r="53" spans="1:28">
      <c r="A53" s="4">
        <v>50</v>
      </c>
      <c r="B53" s="4">
        <v>0</v>
      </c>
      <c r="C53" s="4">
        <v>0</v>
      </c>
      <c r="D53" s="4">
        <v>1</v>
      </c>
      <c r="E53" s="4">
        <v>231</v>
      </c>
      <c r="F53" s="4">
        <f>ROUND(Source!BB40,O53)</f>
        <v>0</v>
      </c>
      <c r="G53" s="4" t="s">
        <v>106</v>
      </c>
      <c r="H53" s="4" t="s">
        <v>107</v>
      </c>
      <c r="I53" s="4"/>
      <c r="J53" s="4"/>
      <c r="K53" s="4">
        <v>231</v>
      </c>
      <c r="L53" s="4">
        <v>12</v>
      </c>
      <c r="M53" s="4">
        <v>3</v>
      </c>
      <c r="N53" s="4" t="s">
        <v>3</v>
      </c>
      <c r="O53" s="4">
        <v>2</v>
      </c>
      <c r="P53" s="4"/>
      <c r="Q53" s="4"/>
      <c r="R53" s="4"/>
      <c r="S53" s="4"/>
      <c r="T53" s="4"/>
      <c r="U53" s="4"/>
      <c r="V53" s="4"/>
      <c r="W53" s="4">
        <v>0</v>
      </c>
      <c r="X53" s="4">
        <v>1</v>
      </c>
      <c r="Y53" s="4">
        <v>0</v>
      </c>
      <c r="Z53" s="4"/>
      <c r="AA53" s="4"/>
      <c r="AB53" s="4"/>
    </row>
    <row r="54" spans="1:28">
      <c r="A54" s="4">
        <v>50</v>
      </c>
      <c r="B54" s="4">
        <v>0</v>
      </c>
      <c r="C54" s="4">
        <v>0</v>
      </c>
      <c r="D54" s="4">
        <v>1</v>
      </c>
      <c r="E54" s="4">
        <v>204</v>
      </c>
      <c r="F54" s="4">
        <f>ROUND(Source!R40,O54)</f>
        <v>81.209999999999994</v>
      </c>
      <c r="G54" s="4" t="s">
        <v>108</v>
      </c>
      <c r="H54" s="4" t="s">
        <v>109</v>
      </c>
      <c r="I54" s="4"/>
      <c r="J54" s="4"/>
      <c r="K54" s="4">
        <v>204</v>
      </c>
      <c r="L54" s="4">
        <v>13</v>
      </c>
      <c r="M54" s="4">
        <v>3</v>
      </c>
      <c r="N54" s="4" t="s">
        <v>3</v>
      </c>
      <c r="O54" s="4">
        <v>2</v>
      </c>
      <c r="P54" s="4"/>
      <c r="Q54" s="4"/>
      <c r="R54" s="4"/>
      <c r="S54" s="4"/>
      <c r="T54" s="4"/>
      <c r="U54" s="4"/>
      <c r="V54" s="4"/>
      <c r="W54" s="4">
        <v>81.210000000000008</v>
      </c>
      <c r="X54" s="4">
        <v>1</v>
      </c>
      <c r="Y54" s="4">
        <v>2349.4</v>
      </c>
      <c r="Z54" s="4"/>
      <c r="AA54" s="4"/>
      <c r="AB54" s="4"/>
    </row>
    <row r="55" spans="1:28">
      <c r="A55" s="4">
        <v>50</v>
      </c>
      <c r="B55" s="4">
        <v>0</v>
      </c>
      <c r="C55" s="4">
        <v>0</v>
      </c>
      <c r="D55" s="4">
        <v>1</v>
      </c>
      <c r="E55" s="4">
        <v>205</v>
      </c>
      <c r="F55" s="4">
        <f>ROUND(Source!S40,O55)</f>
        <v>1883.26</v>
      </c>
      <c r="G55" s="4" t="s">
        <v>110</v>
      </c>
      <c r="H55" s="4" t="s">
        <v>111</v>
      </c>
      <c r="I55" s="4"/>
      <c r="J55" s="4"/>
      <c r="K55" s="4">
        <v>205</v>
      </c>
      <c r="L55" s="4">
        <v>14</v>
      </c>
      <c r="M55" s="4">
        <v>3</v>
      </c>
      <c r="N55" s="4" t="s">
        <v>3</v>
      </c>
      <c r="O55" s="4">
        <v>2</v>
      </c>
      <c r="P55" s="4"/>
      <c r="Q55" s="4"/>
      <c r="R55" s="4"/>
      <c r="S55" s="4"/>
      <c r="T55" s="4"/>
      <c r="U55" s="4"/>
      <c r="V55" s="4"/>
      <c r="W55" s="4">
        <v>1883.2599999999998</v>
      </c>
      <c r="X55" s="4">
        <v>1</v>
      </c>
      <c r="Y55" s="4">
        <v>54482.720000000001</v>
      </c>
      <c r="Z55" s="4"/>
      <c r="AA55" s="4"/>
      <c r="AB55" s="4"/>
    </row>
    <row r="56" spans="1:28">
      <c r="A56" s="4">
        <v>50</v>
      </c>
      <c r="B56" s="4">
        <v>0</v>
      </c>
      <c r="C56" s="4">
        <v>0</v>
      </c>
      <c r="D56" s="4">
        <v>1</v>
      </c>
      <c r="E56" s="4">
        <v>232</v>
      </c>
      <c r="F56" s="4">
        <f>ROUND(Source!BC40,O56)</f>
        <v>0</v>
      </c>
      <c r="G56" s="4" t="s">
        <v>112</v>
      </c>
      <c r="H56" s="4" t="s">
        <v>113</v>
      </c>
      <c r="I56" s="4"/>
      <c r="J56" s="4"/>
      <c r="K56" s="4">
        <v>232</v>
      </c>
      <c r="L56" s="4">
        <v>15</v>
      </c>
      <c r="M56" s="4">
        <v>3</v>
      </c>
      <c r="N56" s="4" t="s">
        <v>3</v>
      </c>
      <c r="O56" s="4">
        <v>2</v>
      </c>
      <c r="P56" s="4"/>
      <c r="Q56" s="4"/>
      <c r="R56" s="4"/>
      <c r="S56" s="4"/>
      <c r="T56" s="4"/>
      <c r="U56" s="4"/>
      <c r="V56" s="4"/>
      <c r="W56" s="4">
        <v>0</v>
      </c>
      <c r="X56" s="4">
        <v>1</v>
      </c>
      <c r="Y56" s="4">
        <v>0</v>
      </c>
      <c r="Z56" s="4"/>
      <c r="AA56" s="4"/>
      <c r="AB56" s="4"/>
    </row>
    <row r="57" spans="1:28">
      <c r="A57" s="4">
        <v>50</v>
      </c>
      <c r="B57" s="4">
        <v>0</v>
      </c>
      <c r="C57" s="4">
        <v>0</v>
      </c>
      <c r="D57" s="4">
        <v>1</v>
      </c>
      <c r="E57" s="4">
        <v>214</v>
      </c>
      <c r="F57" s="4">
        <f>ROUND(Source!AS40,O57)</f>
        <v>12467.7</v>
      </c>
      <c r="G57" s="4" t="s">
        <v>114</v>
      </c>
      <c r="H57" s="4" t="s">
        <v>115</v>
      </c>
      <c r="I57" s="4"/>
      <c r="J57" s="4"/>
      <c r="K57" s="4">
        <v>214</v>
      </c>
      <c r="L57" s="4">
        <v>16</v>
      </c>
      <c r="M57" s="4">
        <v>3</v>
      </c>
      <c r="N57" s="4" t="s">
        <v>3</v>
      </c>
      <c r="O57" s="4">
        <v>2</v>
      </c>
      <c r="P57" s="4"/>
      <c r="Q57" s="4"/>
      <c r="R57" s="4"/>
      <c r="S57" s="4"/>
      <c r="T57" s="4"/>
      <c r="U57" s="4"/>
      <c r="V57" s="4"/>
      <c r="W57" s="4">
        <v>12467.7</v>
      </c>
      <c r="X57" s="4">
        <v>1</v>
      </c>
      <c r="Y57" s="4">
        <v>187831.32</v>
      </c>
      <c r="Z57" s="4"/>
      <c r="AA57" s="4"/>
      <c r="AB57" s="4"/>
    </row>
    <row r="58" spans="1:28">
      <c r="A58" s="4">
        <v>50</v>
      </c>
      <c r="B58" s="4">
        <v>0</v>
      </c>
      <c r="C58" s="4">
        <v>0</v>
      </c>
      <c r="D58" s="4">
        <v>1</v>
      </c>
      <c r="E58" s="4">
        <v>215</v>
      </c>
      <c r="F58" s="4">
        <f>ROUND(Source!AT40,O58)</f>
        <v>0</v>
      </c>
      <c r="G58" s="4" t="s">
        <v>116</v>
      </c>
      <c r="H58" s="4" t="s">
        <v>117</v>
      </c>
      <c r="I58" s="4"/>
      <c r="J58" s="4"/>
      <c r="K58" s="4">
        <v>215</v>
      </c>
      <c r="L58" s="4">
        <v>17</v>
      </c>
      <c r="M58" s="4">
        <v>3</v>
      </c>
      <c r="N58" s="4" t="s">
        <v>3</v>
      </c>
      <c r="O58" s="4">
        <v>2</v>
      </c>
      <c r="P58" s="4"/>
      <c r="Q58" s="4"/>
      <c r="R58" s="4"/>
      <c r="S58" s="4"/>
      <c r="T58" s="4"/>
      <c r="U58" s="4"/>
      <c r="V58" s="4"/>
      <c r="W58" s="4">
        <v>0</v>
      </c>
      <c r="X58" s="4">
        <v>1</v>
      </c>
      <c r="Y58" s="4">
        <v>0</v>
      </c>
      <c r="Z58" s="4"/>
      <c r="AA58" s="4"/>
      <c r="AB58" s="4"/>
    </row>
    <row r="59" spans="1:28">
      <c r="A59" s="4">
        <v>50</v>
      </c>
      <c r="B59" s="4">
        <v>0</v>
      </c>
      <c r="C59" s="4">
        <v>0</v>
      </c>
      <c r="D59" s="4">
        <v>1</v>
      </c>
      <c r="E59" s="4">
        <v>217</v>
      </c>
      <c r="F59" s="4">
        <f>ROUND(Source!AU40,O59)</f>
        <v>0</v>
      </c>
      <c r="G59" s="4" t="s">
        <v>118</v>
      </c>
      <c r="H59" s="4" t="s">
        <v>119</v>
      </c>
      <c r="I59" s="4"/>
      <c r="J59" s="4"/>
      <c r="K59" s="4">
        <v>217</v>
      </c>
      <c r="L59" s="4">
        <v>18</v>
      </c>
      <c r="M59" s="4">
        <v>3</v>
      </c>
      <c r="N59" s="4" t="s">
        <v>3</v>
      </c>
      <c r="O59" s="4">
        <v>2</v>
      </c>
      <c r="P59" s="4"/>
      <c r="Q59" s="4"/>
      <c r="R59" s="4"/>
      <c r="S59" s="4"/>
      <c r="T59" s="4"/>
      <c r="U59" s="4"/>
      <c r="V59" s="4"/>
      <c r="W59" s="4">
        <v>0</v>
      </c>
      <c r="X59" s="4">
        <v>1</v>
      </c>
      <c r="Y59" s="4">
        <v>0</v>
      </c>
      <c r="Z59" s="4"/>
      <c r="AA59" s="4"/>
      <c r="AB59" s="4"/>
    </row>
    <row r="60" spans="1:28">
      <c r="A60" s="4">
        <v>50</v>
      </c>
      <c r="B60" s="4">
        <v>0</v>
      </c>
      <c r="C60" s="4">
        <v>0</v>
      </c>
      <c r="D60" s="4">
        <v>1</v>
      </c>
      <c r="E60" s="4">
        <v>230</v>
      </c>
      <c r="F60" s="4">
        <f>ROUND(Source!BA40,O60)</f>
        <v>0</v>
      </c>
      <c r="G60" s="4" t="s">
        <v>120</v>
      </c>
      <c r="H60" s="4" t="s">
        <v>121</v>
      </c>
      <c r="I60" s="4"/>
      <c r="J60" s="4"/>
      <c r="K60" s="4">
        <v>230</v>
      </c>
      <c r="L60" s="4">
        <v>19</v>
      </c>
      <c r="M60" s="4">
        <v>3</v>
      </c>
      <c r="N60" s="4" t="s">
        <v>3</v>
      </c>
      <c r="O60" s="4">
        <v>2</v>
      </c>
      <c r="P60" s="4"/>
      <c r="Q60" s="4"/>
      <c r="R60" s="4"/>
      <c r="S60" s="4"/>
      <c r="T60" s="4"/>
      <c r="U60" s="4"/>
      <c r="V60" s="4"/>
      <c r="W60" s="4">
        <v>0</v>
      </c>
      <c r="X60" s="4">
        <v>1</v>
      </c>
      <c r="Y60" s="4">
        <v>0</v>
      </c>
      <c r="Z60" s="4"/>
      <c r="AA60" s="4"/>
      <c r="AB60" s="4"/>
    </row>
    <row r="61" spans="1:28">
      <c r="A61" s="4">
        <v>50</v>
      </c>
      <c r="B61" s="4">
        <v>0</v>
      </c>
      <c r="C61" s="4">
        <v>0</v>
      </c>
      <c r="D61" s="4">
        <v>1</v>
      </c>
      <c r="E61" s="4">
        <v>206</v>
      </c>
      <c r="F61" s="4">
        <f>ROUND(Source!T40,O61)</f>
        <v>0</v>
      </c>
      <c r="G61" s="4" t="s">
        <v>122</v>
      </c>
      <c r="H61" s="4" t="s">
        <v>123</v>
      </c>
      <c r="I61" s="4"/>
      <c r="J61" s="4"/>
      <c r="K61" s="4">
        <v>206</v>
      </c>
      <c r="L61" s="4">
        <v>20</v>
      </c>
      <c r="M61" s="4">
        <v>3</v>
      </c>
      <c r="N61" s="4" t="s">
        <v>3</v>
      </c>
      <c r="O61" s="4">
        <v>2</v>
      </c>
      <c r="P61" s="4"/>
      <c r="Q61" s="4"/>
      <c r="R61" s="4"/>
      <c r="S61" s="4"/>
      <c r="T61" s="4"/>
      <c r="U61" s="4"/>
      <c r="V61" s="4"/>
      <c r="W61" s="4">
        <v>0</v>
      </c>
      <c r="X61" s="4">
        <v>1</v>
      </c>
      <c r="Y61" s="4">
        <v>0</v>
      </c>
      <c r="Z61" s="4"/>
      <c r="AA61" s="4"/>
      <c r="AB61" s="4"/>
    </row>
    <row r="62" spans="1:28">
      <c r="A62" s="4">
        <v>50</v>
      </c>
      <c r="B62" s="4">
        <v>0</v>
      </c>
      <c r="C62" s="4">
        <v>0</v>
      </c>
      <c r="D62" s="4">
        <v>1</v>
      </c>
      <c r="E62" s="4">
        <v>207</v>
      </c>
      <c r="F62" s="4">
        <f>Source!U40</f>
        <v>245.21150999999998</v>
      </c>
      <c r="G62" s="4" t="s">
        <v>124</v>
      </c>
      <c r="H62" s="4" t="s">
        <v>125</v>
      </c>
      <c r="I62" s="4"/>
      <c r="J62" s="4"/>
      <c r="K62" s="4">
        <v>207</v>
      </c>
      <c r="L62" s="4">
        <v>21</v>
      </c>
      <c r="M62" s="4">
        <v>3</v>
      </c>
      <c r="N62" s="4" t="s">
        <v>3</v>
      </c>
      <c r="O62" s="4">
        <v>-1</v>
      </c>
      <c r="P62" s="4"/>
      <c r="Q62" s="4"/>
      <c r="R62" s="4"/>
      <c r="S62" s="4"/>
      <c r="T62" s="4"/>
      <c r="U62" s="4"/>
      <c r="V62" s="4"/>
      <c r="W62" s="4">
        <v>245.21151</v>
      </c>
      <c r="X62" s="4">
        <v>1</v>
      </c>
      <c r="Y62" s="4">
        <v>245.21151</v>
      </c>
      <c r="Z62" s="4"/>
      <c r="AA62" s="4"/>
      <c r="AB62" s="4"/>
    </row>
    <row r="63" spans="1:28">
      <c r="A63" s="4">
        <v>50</v>
      </c>
      <c r="B63" s="4">
        <v>0</v>
      </c>
      <c r="C63" s="4">
        <v>0</v>
      </c>
      <c r="D63" s="4">
        <v>1</v>
      </c>
      <c r="E63" s="4">
        <v>208</v>
      </c>
      <c r="F63" s="4">
        <f>Source!V40</f>
        <v>8.8618149999999982</v>
      </c>
      <c r="G63" s="4" t="s">
        <v>126</v>
      </c>
      <c r="H63" s="4" t="s">
        <v>127</v>
      </c>
      <c r="I63" s="4"/>
      <c r="J63" s="4"/>
      <c r="K63" s="4">
        <v>208</v>
      </c>
      <c r="L63" s="4">
        <v>22</v>
      </c>
      <c r="M63" s="4">
        <v>3</v>
      </c>
      <c r="N63" s="4" t="s">
        <v>3</v>
      </c>
      <c r="O63" s="4">
        <v>-1</v>
      </c>
      <c r="P63" s="4"/>
      <c r="Q63" s="4"/>
      <c r="R63" s="4"/>
      <c r="S63" s="4"/>
      <c r="T63" s="4"/>
      <c r="U63" s="4"/>
      <c r="V63" s="4"/>
      <c r="W63" s="4">
        <v>8.861815</v>
      </c>
      <c r="X63" s="4">
        <v>1</v>
      </c>
      <c r="Y63" s="4">
        <v>8.861815</v>
      </c>
      <c r="Z63" s="4"/>
      <c r="AA63" s="4"/>
      <c r="AB63" s="4"/>
    </row>
    <row r="64" spans="1:28">
      <c r="A64" s="4">
        <v>50</v>
      </c>
      <c r="B64" s="4">
        <v>0</v>
      </c>
      <c r="C64" s="4">
        <v>0</v>
      </c>
      <c r="D64" s="4">
        <v>1</v>
      </c>
      <c r="E64" s="4">
        <v>209</v>
      </c>
      <c r="F64" s="4">
        <f>ROUND(Source!W40,O64)</f>
        <v>0</v>
      </c>
      <c r="G64" s="4" t="s">
        <v>128</v>
      </c>
      <c r="H64" s="4" t="s">
        <v>129</v>
      </c>
      <c r="I64" s="4"/>
      <c r="J64" s="4"/>
      <c r="K64" s="4">
        <v>209</v>
      </c>
      <c r="L64" s="4">
        <v>23</v>
      </c>
      <c r="M64" s="4">
        <v>3</v>
      </c>
      <c r="N64" s="4" t="s">
        <v>3</v>
      </c>
      <c r="O64" s="4">
        <v>2</v>
      </c>
      <c r="P64" s="4"/>
      <c r="Q64" s="4"/>
      <c r="R64" s="4"/>
      <c r="S64" s="4"/>
      <c r="T64" s="4"/>
      <c r="U64" s="4"/>
      <c r="V64" s="4"/>
      <c r="W64" s="4">
        <v>0</v>
      </c>
      <c r="X64" s="4">
        <v>1</v>
      </c>
      <c r="Y64" s="4">
        <v>0</v>
      </c>
      <c r="Z64" s="4"/>
      <c r="AA64" s="4"/>
      <c r="AB64" s="4"/>
    </row>
    <row r="65" spans="1:88">
      <c r="A65" s="4">
        <v>50</v>
      </c>
      <c r="B65" s="4">
        <v>0</v>
      </c>
      <c r="C65" s="4">
        <v>0</v>
      </c>
      <c r="D65" s="4">
        <v>1</v>
      </c>
      <c r="E65" s="4">
        <v>233</v>
      </c>
      <c r="F65" s="4">
        <f>ROUND(Source!BD40,O65)</f>
        <v>1032.04</v>
      </c>
      <c r="G65" s="4" t="s">
        <v>130</v>
      </c>
      <c r="H65" s="4" t="s">
        <v>131</v>
      </c>
      <c r="I65" s="4"/>
      <c r="J65" s="4"/>
      <c r="K65" s="4">
        <v>233</v>
      </c>
      <c r="L65" s="4">
        <v>24</v>
      </c>
      <c r="M65" s="4">
        <v>3</v>
      </c>
      <c r="N65" s="4" t="s">
        <v>3</v>
      </c>
      <c r="O65" s="4">
        <v>2</v>
      </c>
      <c r="P65" s="4"/>
      <c r="Q65" s="4"/>
      <c r="R65" s="4"/>
      <c r="S65" s="4"/>
      <c r="T65" s="4"/>
      <c r="U65" s="4"/>
      <c r="V65" s="4"/>
      <c r="W65" s="4">
        <v>1032.04</v>
      </c>
      <c r="X65" s="4">
        <v>1</v>
      </c>
      <c r="Y65" s="4">
        <v>7967.35</v>
      </c>
      <c r="Z65" s="4"/>
      <c r="AA65" s="4"/>
      <c r="AB65" s="4"/>
    </row>
    <row r="66" spans="1:88">
      <c r="A66" s="4">
        <v>50</v>
      </c>
      <c r="B66" s="4">
        <v>0</v>
      </c>
      <c r="C66" s="4">
        <v>0</v>
      </c>
      <c r="D66" s="4">
        <v>1</v>
      </c>
      <c r="E66" s="4">
        <v>0</v>
      </c>
      <c r="F66" s="4">
        <f>ROUND(Source!X40,O66)</f>
        <v>1936.86</v>
      </c>
      <c r="G66" s="4" t="s">
        <v>132</v>
      </c>
      <c r="H66" s="4" t="s">
        <v>133</v>
      </c>
      <c r="I66" s="4"/>
      <c r="J66" s="4"/>
      <c r="K66" s="4">
        <v>210</v>
      </c>
      <c r="L66" s="4">
        <v>25</v>
      </c>
      <c r="M66" s="4">
        <v>3</v>
      </c>
      <c r="N66" s="4" t="s">
        <v>3</v>
      </c>
      <c r="O66" s="4">
        <v>2</v>
      </c>
      <c r="P66" s="4"/>
      <c r="Q66" s="4"/>
      <c r="R66" s="4"/>
      <c r="S66" s="4"/>
      <c r="T66" s="4"/>
      <c r="U66" s="4"/>
      <c r="V66" s="4"/>
      <c r="W66" s="4">
        <v>1936.86</v>
      </c>
      <c r="X66" s="4">
        <v>1</v>
      </c>
      <c r="Y66" s="4">
        <v>56032.740000000005</v>
      </c>
      <c r="Z66" s="4"/>
      <c r="AA66" s="4"/>
      <c r="AB66" s="4"/>
    </row>
    <row r="67" spans="1:88">
      <c r="A67" s="4">
        <v>50</v>
      </c>
      <c r="B67" s="4">
        <v>0</v>
      </c>
      <c r="C67" s="4">
        <v>0</v>
      </c>
      <c r="D67" s="4">
        <v>1</v>
      </c>
      <c r="E67" s="4">
        <v>0</v>
      </c>
      <c r="F67" s="4">
        <f>ROUND(Source!Y40,O67)</f>
        <v>1204.22</v>
      </c>
      <c r="G67" s="4" t="s">
        <v>134</v>
      </c>
      <c r="H67" s="4" t="s">
        <v>135</v>
      </c>
      <c r="I67" s="4"/>
      <c r="J67" s="4"/>
      <c r="K67" s="4">
        <v>211</v>
      </c>
      <c r="L67" s="4">
        <v>26</v>
      </c>
      <c r="M67" s="4">
        <v>3</v>
      </c>
      <c r="N67" s="4" t="s">
        <v>3</v>
      </c>
      <c r="O67" s="4">
        <v>2</v>
      </c>
      <c r="P67" s="4"/>
      <c r="Q67" s="4"/>
      <c r="R67" s="4"/>
      <c r="S67" s="4"/>
      <c r="T67" s="4"/>
      <c r="U67" s="4"/>
      <c r="V67" s="4"/>
      <c r="W67" s="4">
        <v>1204.22</v>
      </c>
      <c r="X67" s="4">
        <v>1</v>
      </c>
      <c r="Y67" s="4">
        <v>34838.100000000006</v>
      </c>
      <c r="Z67" s="4"/>
      <c r="AA67" s="4"/>
      <c r="AB67" s="4"/>
    </row>
    <row r="68" spans="1:88">
      <c r="A68" s="4">
        <v>50</v>
      </c>
      <c r="B68" s="4">
        <v>0</v>
      </c>
      <c r="C68" s="4">
        <v>0</v>
      </c>
      <c r="D68" s="4">
        <v>1</v>
      </c>
      <c r="E68" s="4">
        <v>224</v>
      </c>
      <c r="F68" s="4">
        <f>ROUND(Source!AR40,O68)</f>
        <v>12467.7</v>
      </c>
      <c r="G68" s="4" t="s">
        <v>136</v>
      </c>
      <c r="H68" s="4" t="s">
        <v>137</v>
      </c>
      <c r="I68" s="4"/>
      <c r="J68" s="4"/>
      <c r="K68" s="4">
        <v>224</v>
      </c>
      <c r="L68" s="4">
        <v>27</v>
      </c>
      <c r="M68" s="4">
        <v>3</v>
      </c>
      <c r="N68" s="4" t="s">
        <v>3</v>
      </c>
      <c r="O68" s="4">
        <v>2</v>
      </c>
      <c r="P68" s="4"/>
      <c r="Q68" s="4"/>
      <c r="R68" s="4"/>
      <c r="S68" s="4"/>
      <c r="T68" s="4"/>
      <c r="U68" s="4"/>
      <c r="V68" s="4"/>
      <c r="W68" s="4">
        <v>12467.699999999999</v>
      </c>
      <c r="X68" s="4">
        <v>1</v>
      </c>
      <c r="Y68" s="4">
        <v>187831.32000000004</v>
      </c>
      <c r="Z68" s="4"/>
      <c r="AA68" s="4"/>
      <c r="AB68" s="4"/>
    </row>
    <row r="69" spans="1:88">
      <c r="A69" s="4">
        <v>50</v>
      </c>
      <c r="B69" s="4">
        <v>1</v>
      </c>
      <c r="C69" s="4">
        <v>0</v>
      </c>
      <c r="D69" s="4">
        <v>2</v>
      </c>
      <c r="E69" s="4">
        <v>201</v>
      </c>
      <c r="F69" s="4">
        <f>ROUND(ROUND(F42,0),O69)</f>
        <v>9327</v>
      </c>
      <c r="G69" s="4" t="s">
        <v>138</v>
      </c>
      <c r="H69" s="4" t="s">
        <v>139</v>
      </c>
      <c r="I69" s="4"/>
      <c r="J69" s="4"/>
      <c r="K69" s="4">
        <v>212</v>
      </c>
      <c r="L69" s="4">
        <v>28</v>
      </c>
      <c r="M69" s="4">
        <v>0</v>
      </c>
      <c r="N69" s="4" t="s">
        <v>3</v>
      </c>
      <c r="O69" s="4">
        <v>0</v>
      </c>
      <c r="P69" s="4"/>
      <c r="Q69" s="4"/>
      <c r="R69" s="4"/>
      <c r="S69" s="4"/>
      <c r="T69" s="4"/>
      <c r="U69" s="4"/>
      <c r="V69" s="4"/>
      <c r="W69" s="4">
        <v>9327</v>
      </c>
      <c r="X69" s="4">
        <v>1</v>
      </c>
      <c r="Y69" s="4">
        <v>96960</v>
      </c>
      <c r="Z69" s="4"/>
      <c r="AA69" s="4"/>
      <c r="AB69" s="4"/>
    </row>
    <row r="70" spans="1:88">
      <c r="A70" s="4">
        <v>50</v>
      </c>
      <c r="B70" s="4">
        <v>1</v>
      </c>
      <c r="C70" s="4">
        <v>0</v>
      </c>
      <c r="D70" s="4">
        <v>2</v>
      </c>
      <c r="E70" s="4">
        <v>210</v>
      </c>
      <c r="F70" s="4">
        <f>ROUND(ROUND(F66,0),O70)</f>
        <v>1937</v>
      </c>
      <c r="G70" s="4" t="s">
        <v>140</v>
      </c>
      <c r="H70" s="4" t="s">
        <v>133</v>
      </c>
      <c r="I70" s="4"/>
      <c r="J70" s="4"/>
      <c r="K70" s="4">
        <v>212</v>
      </c>
      <c r="L70" s="4">
        <v>29</v>
      </c>
      <c r="M70" s="4">
        <v>0</v>
      </c>
      <c r="N70" s="4" t="s">
        <v>3</v>
      </c>
      <c r="O70" s="4">
        <v>0</v>
      </c>
      <c r="P70" s="4"/>
      <c r="Q70" s="4"/>
      <c r="R70" s="4"/>
      <c r="S70" s="4"/>
      <c r="T70" s="4"/>
      <c r="U70" s="4"/>
      <c r="V70" s="4"/>
      <c r="W70" s="4">
        <v>1937</v>
      </c>
      <c r="X70" s="4">
        <v>1</v>
      </c>
      <c r="Y70" s="4">
        <v>56033</v>
      </c>
      <c r="Z70" s="4"/>
      <c r="AA70" s="4"/>
      <c r="AB70" s="4"/>
    </row>
    <row r="71" spans="1:88">
      <c r="A71" s="4">
        <v>50</v>
      </c>
      <c r="B71" s="4">
        <v>1</v>
      </c>
      <c r="C71" s="4">
        <v>0</v>
      </c>
      <c r="D71" s="4">
        <v>2</v>
      </c>
      <c r="E71" s="4">
        <v>211</v>
      </c>
      <c r="F71" s="4">
        <f>ROUND(ROUND(F67,0),O71)</f>
        <v>1204</v>
      </c>
      <c r="G71" s="4" t="s">
        <v>141</v>
      </c>
      <c r="H71" s="4" t="s">
        <v>135</v>
      </c>
      <c r="I71" s="4"/>
      <c r="J71" s="4"/>
      <c r="K71" s="4">
        <v>212</v>
      </c>
      <c r="L71" s="4">
        <v>30</v>
      </c>
      <c r="M71" s="4">
        <v>0</v>
      </c>
      <c r="N71" s="4" t="s">
        <v>3</v>
      </c>
      <c r="O71" s="4">
        <v>0</v>
      </c>
      <c r="P71" s="4"/>
      <c r="Q71" s="4"/>
      <c r="R71" s="4"/>
      <c r="S71" s="4"/>
      <c r="T71" s="4"/>
      <c r="U71" s="4"/>
      <c r="V71" s="4"/>
      <c r="W71" s="4">
        <v>1204</v>
      </c>
      <c r="X71" s="4">
        <v>1</v>
      </c>
      <c r="Y71" s="4">
        <v>34838</v>
      </c>
      <c r="Z71" s="4"/>
      <c r="AA71" s="4"/>
      <c r="AB71" s="4"/>
    </row>
    <row r="72" spans="1:88">
      <c r="A72" s="4">
        <v>50</v>
      </c>
      <c r="B72" s="4">
        <v>1</v>
      </c>
      <c r="C72" s="4">
        <v>0</v>
      </c>
      <c r="D72" s="4">
        <v>2</v>
      </c>
      <c r="E72" s="4">
        <v>213</v>
      </c>
      <c r="F72" s="4">
        <f>ROUND(F69+F70+F71,O72)</f>
        <v>12468</v>
      </c>
      <c r="G72" s="4" t="s">
        <v>142</v>
      </c>
      <c r="H72" s="4" t="s">
        <v>143</v>
      </c>
      <c r="I72" s="4"/>
      <c r="J72" s="4"/>
      <c r="K72" s="4">
        <v>212</v>
      </c>
      <c r="L72" s="4">
        <v>31</v>
      </c>
      <c r="M72" s="4">
        <v>0</v>
      </c>
      <c r="N72" s="4" t="s">
        <v>3</v>
      </c>
      <c r="O72" s="4">
        <v>2</v>
      </c>
      <c r="P72" s="4"/>
      <c r="Q72" s="4"/>
      <c r="R72" s="4"/>
      <c r="S72" s="4"/>
      <c r="T72" s="4"/>
      <c r="U72" s="4"/>
      <c r="V72" s="4"/>
      <c r="W72" s="4">
        <v>12468</v>
      </c>
      <c r="X72" s="4">
        <v>1</v>
      </c>
      <c r="Y72" s="4">
        <v>187831</v>
      </c>
      <c r="Z72" s="4"/>
      <c r="AA72" s="4"/>
      <c r="AB72" s="4"/>
    </row>
    <row r="73" spans="1:88">
      <c r="A73" s="4">
        <v>50</v>
      </c>
      <c r="B73" s="4">
        <v>1</v>
      </c>
      <c r="C73" s="4">
        <v>0</v>
      </c>
      <c r="D73" s="4">
        <v>2</v>
      </c>
      <c r="E73" s="4">
        <v>0</v>
      </c>
      <c r="F73" s="4">
        <v>12467.7</v>
      </c>
      <c r="G73" s="4" t="s">
        <v>144</v>
      </c>
      <c r="H73" s="4" t="s">
        <v>145</v>
      </c>
      <c r="I73" s="4"/>
      <c r="J73" s="4"/>
      <c r="K73" s="4">
        <v>212</v>
      </c>
      <c r="L73" s="4">
        <v>32</v>
      </c>
      <c r="M73" s="4">
        <v>1</v>
      </c>
      <c r="N73" s="4" t="s">
        <v>3</v>
      </c>
      <c r="O73" s="4">
        <v>2</v>
      </c>
      <c r="P73" s="4"/>
      <c r="Q73" s="4"/>
      <c r="R73" s="4"/>
      <c r="S73" s="4"/>
      <c r="T73" s="4"/>
      <c r="U73" s="4"/>
      <c r="V73" s="4"/>
      <c r="W73" s="4">
        <v>12467.7</v>
      </c>
      <c r="X73" s="4">
        <v>1</v>
      </c>
      <c r="Y73" s="4">
        <v>12467.7</v>
      </c>
      <c r="Z73" s="4"/>
      <c r="AA73" s="4"/>
      <c r="AB73" s="4"/>
    </row>
    <row r="74" spans="1:88">
      <c r="A74" s="4">
        <v>50</v>
      </c>
      <c r="B74" s="4">
        <v>0</v>
      </c>
      <c r="C74" s="4">
        <v>0</v>
      </c>
      <c r="D74" s="4">
        <v>2</v>
      </c>
      <c r="E74" s="4">
        <v>0</v>
      </c>
      <c r="F74" s="4">
        <v>0</v>
      </c>
      <c r="G74" s="4" t="s">
        <v>146</v>
      </c>
      <c r="H74" s="4" t="s">
        <v>147</v>
      </c>
      <c r="I74" s="4"/>
      <c r="J74" s="4"/>
      <c r="K74" s="4">
        <v>212</v>
      </c>
      <c r="L74" s="4">
        <v>33</v>
      </c>
      <c r="M74" s="4">
        <v>1</v>
      </c>
      <c r="N74" s="4" t="s">
        <v>3</v>
      </c>
      <c r="O74" s="4">
        <v>2</v>
      </c>
      <c r="P74" s="4"/>
      <c r="Q74" s="4"/>
      <c r="R74" s="4"/>
      <c r="S74" s="4"/>
      <c r="T74" s="4"/>
      <c r="U74" s="4"/>
      <c r="V74" s="4"/>
      <c r="W74" s="4">
        <v>0</v>
      </c>
      <c r="X74" s="4">
        <v>1</v>
      </c>
      <c r="Y74" s="4">
        <v>0</v>
      </c>
      <c r="Z74" s="4"/>
      <c r="AA74" s="4"/>
      <c r="AB74" s="4"/>
    </row>
    <row r="75" spans="1:88">
      <c r="A75" s="4">
        <v>50</v>
      </c>
      <c r="B75" s="4">
        <v>0</v>
      </c>
      <c r="C75" s="4">
        <v>0</v>
      </c>
      <c r="D75" s="4">
        <v>2</v>
      </c>
      <c r="E75" s="4">
        <v>0</v>
      </c>
      <c r="F75" s="4">
        <v>0</v>
      </c>
      <c r="G75" s="4" t="s">
        <v>148</v>
      </c>
      <c r="H75" s="4" t="s">
        <v>149</v>
      </c>
      <c r="I75" s="4"/>
      <c r="J75" s="4"/>
      <c r="K75" s="4">
        <v>212</v>
      </c>
      <c r="L75" s="4">
        <v>34</v>
      </c>
      <c r="M75" s="4">
        <v>1</v>
      </c>
      <c r="N75" s="4" t="s">
        <v>3</v>
      </c>
      <c r="O75" s="4">
        <v>2</v>
      </c>
      <c r="P75" s="4"/>
      <c r="Q75" s="4"/>
      <c r="R75" s="4"/>
      <c r="S75" s="4"/>
      <c r="T75" s="4"/>
      <c r="U75" s="4"/>
      <c r="V75" s="4"/>
      <c r="W75" s="4">
        <v>0</v>
      </c>
      <c r="X75" s="4">
        <v>1</v>
      </c>
      <c r="Y75" s="4">
        <v>0</v>
      </c>
      <c r="Z75" s="4"/>
      <c r="AA75" s="4"/>
      <c r="AB75" s="4"/>
    </row>
    <row r="76" spans="1:88">
      <c r="A76" s="4">
        <v>50</v>
      </c>
      <c r="B76" s="4">
        <v>0</v>
      </c>
      <c r="C76" s="4">
        <v>0</v>
      </c>
      <c r="D76" s="4">
        <v>2</v>
      </c>
      <c r="E76" s="4">
        <v>0</v>
      </c>
      <c r="F76" s="4">
        <v>0</v>
      </c>
      <c r="G76" s="4" t="s">
        <v>150</v>
      </c>
      <c r="H76" s="4" t="s">
        <v>151</v>
      </c>
      <c r="I76" s="4"/>
      <c r="J76" s="4"/>
      <c r="K76" s="4">
        <v>212</v>
      </c>
      <c r="L76" s="4">
        <v>35</v>
      </c>
      <c r="M76" s="4">
        <v>1</v>
      </c>
      <c r="N76" s="4" t="s">
        <v>3</v>
      </c>
      <c r="O76" s="4">
        <v>2</v>
      </c>
      <c r="P76" s="4"/>
      <c r="Q76" s="4"/>
      <c r="R76" s="4"/>
      <c r="S76" s="4"/>
      <c r="T76" s="4"/>
      <c r="U76" s="4"/>
      <c r="V76" s="4"/>
      <c r="W76" s="4">
        <v>0</v>
      </c>
      <c r="X76" s="4">
        <v>1</v>
      </c>
      <c r="Y76" s="4">
        <v>0</v>
      </c>
      <c r="Z76" s="4"/>
      <c r="AA76" s="4"/>
      <c r="AB76" s="4"/>
    </row>
    <row r="77" spans="1:88">
      <c r="A77" s="4">
        <v>50</v>
      </c>
      <c r="B77" s="4">
        <f>IF(Source!F77=0,1,0)</f>
        <v>1</v>
      </c>
      <c r="C77" s="4">
        <v>0</v>
      </c>
      <c r="D77" s="4">
        <v>2</v>
      </c>
      <c r="E77" s="4">
        <v>0</v>
      </c>
      <c r="F77" s="4">
        <f>ROUND(ROUND((F72-F73-F74-F75-F76),0),O77)</f>
        <v>0</v>
      </c>
      <c r="G77" s="4" t="s">
        <v>152</v>
      </c>
      <c r="H77" s="4" t="s">
        <v>153</v>
      </c>
      <c r="I77" s="4"/>
      <c r="J77" s="4"/>
      <c r="K77" s="4">
        <v>212</v>
      </c>
      <c r="L77" s="4">
        <v>36</v>
      </c>
      <c r="M77" s="4">
        <v>2</v>
      </c>
      <c r="N77" s="4" t="s">
        <v>3</v>
      </c>
      <c r="O77" s="4">
        <v>0</v>
      </c>
      <c r="P77" s="4"/>
      <c r="Q77" s="4"/>
      <c r="R77" s="4"/>
      <c r="S77" s="4"/>
      <c r="T77" s="4"/>
      <c r="U77" s="4"/>
      <c r="V77" s="4"/>
      <c r="W77" s="4">
        <v>0</v>
      </c>
      <c r="X77" s="4">
        <v>1</v>
      </c>
      <c r="Y77" s="4">
        <v>175363</v>
      </c>
      <c r="Z77" s="4"/>
      <c r="AA77" s="4"/>
      <c r="AB77" s="4"/>
    </row>
    <row r="79" spans="1:88">
      <c r="A79" s="1">
        <v>4</v>
      </c>
      <c r="B79" s="1">
        <v>1</v>
      </c>
      <c r="C79" s="1"/>
      <c r="D79" s="1">
        <f>ROW(A99)</f>
        <v>99</v>
      </c>
      <c r="E79" s="1"/>
      <c r="F79" s="1" t="s">
        <v>13</v>
      </c>
      <c r="G79" s="1" t="s">
        <v>154</v>
      </c>
      <c r="H79" s="1" t="s">
        <v>3</v>
      </c>
      <c r="I79" s="1">
        <v>0</v>
      </c>
      <c r="J79" s="1"/>
      <c r="K79" s="1">
        <v>0</v>
      </c>
      <c r="L79" s="1"/>
      <c r="M79" s="1" t="s">
        <v>3</v>
      </c>
      <c r="N79" s="1"/>
      <c r="O79" s="1"/>
      <c r="P79" s="1"/>
      <c r="Q79" s="1"/>
      <c r="R79" s="1"/>
      <c r="S79" s="1">
        <v>47920235</v>
      </c>
      <c r="T79" s="1"/>
      <c r="U79" s="1" t="s">
        <v>3</v>
      </c>
      <c r="V79" s="1">
        <v>0</v>
      </c>
      <c r="W79" s="1"/>
      <c r="X79" s="1"/>
      <c r="Y79" s="1"/>
      <c r="Z79" s="1"/>
      <c r="AA79" s="1"/>
      <c r="AB79" s="1" t="s">
        <v>3</v>
      </c>
      <c r="AC79" s="1" t="s">
        <v>3</v>
      </c>
      <c r="AD79" s="1" t="s">
        <v>3</v>
      </c>
      <c r="AE79" s="1" t="s">
        <v>3</v>
      </c>
      <c r="AF79" s="1" t="s">
        <v>3</v>
      </c>
      <c r="AG79" s="1" t="s">
        <v>3</v>
      </c>
      <c r="AH79" s="1"/>
      <c r="AI79" s="1"/>
      <c r="AJ79" s="1"/>
      <c r="AK79" s="1"/>
      <c r="AL79" s="1"/>
      <c r="AM79" s="1"/>
      <c r="AN79" s="1"/>
      <c r="AO79" s="1"/>
      <c r="AP79" s="1" t="s">
        <v>3</v>
      </c>
      <c r="AQ79" s="1" t="s">
        <v>3</v>
      </c>
      <c r="AR79" s="1" t="s">
        <v>3</v>
      </c>
      <c r="AS79" s="1"/>
      <c r="AT79" s="1"/>
      <c r="AU79" s="1"/>
      <c r="AV79" s="1"/>
      <c r="AW79" s="1"/>
      <c r="AX79" s="1"/>
      <c r="AY79" s="1"/>
      <c r="AZ79" s="1" t="s">
        <v>3</v>
      </c>
      <c r="BA79" s="1"/>
      <c r="BB79" s="1" t="s">
        <v>3</v>
      </c>
      <c r="BC79" s="1" t="s">
        <v>3</v>
      </c>
      <c r="BD79" s="1" t="s">
        <v>3</v>
      </c>
      <c r="BE79" s="1" t="s">
        <v>3</v>
      </c>
      <c r="BF79" s="1" t="s">
        <v>3</v>
      </c>
      <c r="BG79" s="1" t="s">
        <v>3</v>
      </c>
      <c r="BH79" s="1" t="s">
        <v>3</v>
      </c>
      <c r="BI79" s="1" t="s">
        <v>3</v>
      </c>
      <c r="BJ79" s="1" t="s">
        <v>3</v>
      </c>
      <c r="BK79" s="1" t="s">
        <v>3</v>
      </c>
      <c r="BL79" s="1" t="s">
        <v>3</v>
      </c>
      <c r="BM79" s="1" t="s">
        <v>3</v>
      </c>
      <c r="BN79" s="1" t="s">
        <v>3</v>
      </c>
      <c r="BO79" s="1" t="s">
        <v>3</v>
      </c>
      <c r="BP79" s="1" t="s">
        <v>3</v>
      </c>
      <c r="BQ79" s="1"/>
      <c r="BR79" s="1"/>
      <c r="BS79" s="1"/>
      <c r="BT79" s="1"/>
      <c r="BU79" s="1"/>
      <c r="BV79" s="1"/>
      <c r="BW79" s="1"/>
      <c r="BX79" s="1">
        <v>0</v>
      </c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>
        <v>0</v>
      </c>
    </row>
    <row r="81" spans="1:245">
      <c r="A81" s="2">
        <v>52</v>
      </c>
      <c r="B81" s="2">
        <f t="shared" ref="B81:G81" si="65">B99</f>
        <v>1</v>
      </c>
      <c r="C81" s="2">
        <f t="shared" si="65"/>
        <v>4</v>
      </c>
      <c r="D81" s="2">
        <f t="shared" si="65"/>
        <v>79</v>
      </c>
      <c r="E81" s="2">
        <f t="shared" si="65"/>
        <v>0</v>
      </c>
      <c r="F81" s="2" t="str">
        <f t="shared" si="65"/>
        <v>Новый раздел</v>
      </c>
      <c r="G81" s="2" t="str">
        <f t="shared" si="65"/>
        <v>Монтажные работы</v>
      </c>
      <c r="H81" s="2"/>
      <c r="I81" s="2"/>
      <c r="J81" s="2"/>
      <c r="K81" s="2"/>
      <c r="L81" s="2"/>
      <c r="M81" s="2"/>
      <c r="N81" s="2"/>
      <c r="O81" s="2">
        <f t="shared" ref="O81:AT81" si="66">O99</f>
        <v>16929.14</v>
      </c>
      <c r="P81" s="2">
        <f t="shared" si="66"/>
        <v>1080.3</v>
      </c>
      <c r="Q81" s="2">
        <f t="shared" si="66"/>
        <v>11381.18</v>
      </c>
      <c r="R81" s="2">
        <f t="shared" si="66"/>
        <v>533.16</v>
      </c>
      <c r="S81" s="2">
        <f t="shared" si="66"/>
        <v>4467.66</v>
      </c>
      <c r="T81" s="2">
        <f t="shared" si="66"/>
        <v>0</v>
      </c>
      <c r="U81" s="2">
        <f t="shared" si="66"/>
        <v>476.62151999999998</v>
      </c>
      <c r="V81" s="2">
        <f t="shared" si="66"/>
        <v>61.207506000000002</v>
      </c>
      <c r="W81" s="2">
        <f t="shared" si="66"/>
        <v>0</v>
      </c>
      <c r="X81" s="2">
        <f t="shared" si="66"/>
        <v>4850.78</v>
      </c>
      <c r="Y81" s="2">
        <f t="shared" si="66"/>
        <v>2550.42</v>
      </c>
      <c r="Z81" s="2">
        <f t="shared" si="66"/>
        <v>0</v>
      </c>
      <c r="AA81" s="2">
        <f t="shared" si="66"/>
        <v>0</v>
      </c>
      <c r="AB81" s="2">
        <f t="shared" si="66"/>
        <v>16929.14</v>
      </c>
      <c r="AC81" s="2">
        <f t="shared" si="66"/>
        <v>1080.3</v>
      </c>
      <c r="AD81" s="2">
        <f t="shared" si="66"/>
        <v>11381.18</v>
      </c>
      <c r="AE81" s="2">
        <f t="shared" si="66"/>
        <v>533.16</v>
      </c>
      <c r="AF81" s="2">
        <f t="shared" si="66"/>
        <v>4467.66</v>
      </c>
      <c r="AG81" s="2">
        <f t="shared" si="66"/>
        <v>0</v>
      </c>
      <c r="AH81" s="2">
        <f t="shared" si="66"/>
        <v>476.62151999999998</v>
      </c>
      <c r="AI81" s="2">
        <f t="shared" si="66"/>
        <v>61.207506000000002</v>
      </c>
      <c r="AJ81" s="2">
        <f t="shared" si="66"/>
        <v>0</v>
      </c>
      <c r="AK81" s="2">
        <f t="shared" si="66"/>
        <v>4850.78</v>
      </c>
      <c r="AL81" s="2">
        <f t="shared" si="66"/>
        <v>2550.42</v>
      </c>
      <c r="AM81" s="2">
        <f t="shared" si="66"/>
        <v>0</v>
      </c>
      <c r="AN81" s="2">
        <f t="shared" si="66"/>
        <v>0</v>
      </c>
      <c r="AO81" s="2">
        <f t="shared" si="66"/>
        <v>0</v>
      </c>
      <c r="AP81" s="2">
        <f t="shared" si="66"/>
        <v>0</v>
      </c>
      <c r="AQ81" s="2">
        <f t="shared" si="66"/>
        <v>0</v>
      </c>
      <c r="AR81" s="2">
        <f t="shared" si="66"/>
        <v>24330.34</v>
      </c>
      <c r="AS81" s="2">
        <f t="shared" si="66"/>
        <v>0</v>
      </c>
      <c r="AT81" s="2">
        <f t="shared" si="66"/>
        <v>24330.34</v>
      </c>
      <c r="AU81" s="2">
        <f t="shared" ref="AU81:BZ81" si="67">AU99</f>
        <v>0</v>
      </c>
      <c r="AV81" s="2">
        <f t="shared" si="67"/>
        <v>1080.3</v>
      </c>
      <c r="AW81" s="2">
        <f t="shared" si="67"/>
        <v>1080.3</v>
      </c>
      <c r="AX81" s="2">
        <f t="shared" si="67"/>
        <v>0</v>
      </c>
      <c r="AY81" s="2">
        <f t="shared" si="67"/>
        <v>1080.3</v>
      </c>
      <c r="AZ81" s="2">
        <f t="shared" si="67"/>
        <v>0</v>
      </c>
      <c r="BA81" s="2">
        <f t="shared" si="67"/>
        <v>0</v>
      </c>
      <c r="BB81" s="2">
        <f t="shared" si="67"/>
        <v>0</v>
      </c>
      <c r="BC81" s="2">
        <f t="shared" si="67"/>
        <v>0</v>
      </c>
      <c r="BD81" s="2">
        <f t="shared" si="67"/>
        <v>0</v>
      </c>
      <c r="BE81" s="2">
        <f t="shared" si="67"/>
        <v>0</v>
      </c>
      <c r="BF81" s="2">
        <f t="shared" si="67"/>
        <v>0</v>
      </c>
      <c r="BG81" s="2">
        <f t="shared" si="67"/>
        <v>0</v>
      </c>
      <c r="BH81" s="2">
        <f t="shared" si="67"/>
        <v>0</v>
      </c>
      <c r="BI81" s="2">
        <f t="shared" si="67"/>
        <v>0</v>
      </c>
      <c r="BJ81" s="2">
        <f t="shared" si="67"/>
        <v>0</v>
      </c>
      <c r="BK81" s="2">
        <f t="shared" si="67"/>
        <v>0</v>
      </c>
      <c r="BL81" s="2">
        <f t="shared" si="67"/>
        <v>0</v>
      </c>
      <c r="BM81" s="2">
        <f t="shared" si="67"/>
        <v>0</v>
      </c>
      <c r="BN81" s="2">
        <f t="shared" si="67"/>
        <v>0</v>
      </c>
      <c r="BO81" s="2">
        <f t="shared" si="67"/>
        <v>0</v>
      </c>
      <c r="BP81" s="2">
        <f t="shared" si="67"/>
        <v>0</v>
      </c>
      <c r="BQ81" s="2">
        <f t="shared" si="67"/>
        <v>0</v>
      </c>
      <c r="BR81" s="2">
        <f t="shared" si="67"/>
        <v>0</v>
      </c>
      <c r="BS81" s="2">
        <f t="shared" si="67"/>
        <v>0</v>
      </c>
      <c r="BT81" s="2">
        <f t="shared" si="67"/>
        <v>0</v>
      </c>
      <c r="BU81" s="2">
        <f t="shared" si="67"/>
        <v>0</v>
      </c>
      <c r="BV81" s="2">
        <f t="shared" si="67"/>
        <v>0</v>
      </c>
      <c r="BW81" s="2">
        <f t="shared" si="67"/>
        <v>0</v>
      </c>
      <c r="BX81" s="2">
        <f t="shared" si="67"/>
        <v>0</v>
      </c>
      <c r="BY81" s="2">
        <f t="shared" si="67"/>
        <v>0</v>
      </c>
      <c r="BZ81" s="2">
        <f t="shared" si="67"/>
        <v>0</v>
      </c>
      <c r="CA81" s="2">
        <f t="shared" ref="CA81:DF81" si="68">CA99</f>
        <v>24330.34</v>
      </c>
      <c r="CB81" s="2">
        <f t="shared" si="68"/>
        <v>0</v>
      </c>
      <c r="CC81" s="2">
        <f t="shared" si="68"/>
        <v>24330.34</v>
      </c>
      <c r="CD81" s="2">
        <f t="shared" si="68"/>
        <v>0</v>
      </c>
      <c r="CE81" s="2">
        <f t="shared" si="68"/>
        <v>1080.3</v>
      </c>
      <c r="CF81" s="2">
        <f t="shared" si="68"/>
        <v>1080.3</v>
      </c>
      <c r="CG81" s="2">
        <f t="shared" si="68"/>
        <v>0</v>
      </c>
      <c r="CH81" s="2">
        <f t="shared" si="68"/>
        <v>1080.3</v>
      </c>
      <c r="CI81" s="2">
        <f t="shared" si="68"/>
        <v>0</v>
      </c>
      <c r="CJ81" s="2">
        <f t="shared" si="68"/>
        <v>0</v>
      </c>
      <c r="CK81" s="2">
        <f t="shared" si="68"/>
        <v>0</v>
      </c>
      <c r="CL81" s="2">
        <f t="shared" si="68"/>
        <v>0</v>
      </c>
      <c r="CM81" s="2">
        <f t="shared" si="68"/>
        <v>0</v>
      </c>
      <c r="CN81" s="2">
        <f t="shared" si="68"/>
        <v>0</v>
      </c>
      <c r="CO81" s="2">
        <f t="shared" si="68"/>
        <v>0</v>
      </c>
      <c r="CP81" s="2">
        <f t="shared" si="68"/>
        <v>0</v>
      </c>
      <c r="CQ81" s="2">
        <f t="shared" si="68"/>
        <v>0</v>
      </c>
      <c r="CR81" s="2">
        <f t="shared" si="68"/>
        <v>0</v>
      </c>
      <c r="CS81" s="2">
        <f t="shared" si="68"/>
        <v>0</v>
      </c>
      <c r="CT81" s="2">
        <f t="shared" si="68"/>
        <v>0</v>
      </c>
      <c r="CU81" s="2">
        <f t="shared" si="68"/>
        <v>0</v>
      </c>
      <c r="CV81" s="2">
        <f t="shared" si="68"/>
        <v>0</v>
      </c>
      <c r="CW81" s="2">
        <f t="shared" si="68"/>
        <v>0</v>
      </c>
      <c r="CX81" s="2">
        <f t="shared" si="68"/>
        <v>0</v>
      </c>
      <c r="CY81" s="2">
        <f t="shared" si="68"/>
        <v>0</v>
      </c>
      <c r="CZ81" s="2">
        <f t="shared" si="68"/>
        <v>0</v>
      </c>
      <c r="DA81" s="2">
        <f t="shared" si="68"/>
        <v>0</v>
      </c>
      <c r="DB81" s="2">
        <f t="shared" si="68"/>
        <v>0</v>
      </c>
      <c r="DC81" s="2">
        <f t="shared" si="68"/>
        <v>0</v>
      </c>
      <c r="DD81" s="2">
        <f t="shared" si="68"/>
        <v>0</v>
      </c>
      <c r="DE81" s="2">
        <f t="shared" si="68"/>
        <v>0</v>
      </c>
      <c r="DF81" s="2">
        <f t="shared" si="68"/>
        <v>0</v>
      </c>
      <c r="DG81" s="3">
        <f t="shared" ref="DG81:EL81" si="69">DG99</f>
        <v>0</v>
      </c>
      <c r="DH81" s="3">
        <f t="shared" si="69"/>
        <v>0</v>
      </c>
      <c r="DI81" s="3">
        <f t="shared" si="69"/>
        <v>0</v>
      </c>
      <c r="DJ81" s="3">
        <f t="shared" si="69"/>
        <v>0</v>
      </c>
      <c r="DK81" s="3">
        <f t="shared" si="69"/>
        <v>0</v>
      </c>
      <c r="DL81" s="3">
        <f t="shared" si="69"/>
        <v>0</v>
      </c>
      <c r="DM81" s="3">
        <f t="shared" si="69"/>
        <v>0</v>
      </c>
      <c r="DN81" s="3">
        <f t="shared" si="69"/>
        <v>0</v>
      </c>
      <c r="DO81" s="3">
        <f t="shared" si="69"/>
        <v>0</v>
      </c>
      <c r="DP81" s="3">
        <f t="shared" si="69"/>
        <v>0</v>
      </c>
      <c r="DQ81" s="3">
        <f t="shared" si="69"/>
        <v>0</v>
      </c>
      <c r="DR81" s="3">
        <f t="shared" si="69"/>
        <v>0</v>
      </c>
      <c r="DS81" s="3">
        <f t="shared" si="69"/>
        <v>0</v>
      </c>
      <c r="DT81" s="3">
        <f t="shared" si="69"/>
        <v>0</v>
      </c>
      <c r="DU81" s="3">
        <f t="shared" si="69"/>
        <v>0</v>
      </c>
      <c r="DV81" s="3">
        <f t="shared" si="69"/>
        <v>0</v>
      </c>
      <c r="DW81" s="3">
        <f t="shared" si="69"/>
        <v>0</v>
      </c>
      <c r="DX81" s="3">
        <f t="shared" si="69"/>
        <v>0</v>
      </c>
      <c r="DY81" s="3">
        <f t="shared" si="69"/>
        <v>0</v>
      </c>
      <c r="DZ81" s="3">
        <f t="shared" si="69"/>
        <v>0</v>
      </c>
      <c r="EA81" s="3">
        <f t="shared" si="69"/>
        <v>0</v>
      </c>
      <c r="EB81" s="3">
        <f t="shared" si="69"/>
        <v>0</v>
      </c>
      <c r="EC81" s="3">
        <f t="shared" si="69"/>
        <v>0</v>
      </c>
      <c r="ED81" s="3">
        <f t="shared" si="69"/>
        <v>0</v>
      </c>
      <c r="EE81" s="3">
        <f t="shared" si="69"/>
        <v>0</v>
      </c>
      <c r="EF81" s="3">
        <f t="shared" si="69"/>
        <v>0</v>
      </c>
      <c r="EG81" s="3">
        <f t="shared" si="69"/>
        <v>0</v>
      </c>
      <c r="EH81" s="3">
        <f t="shared" si="69"/>
        <v>0</v>
      </c>
      <c r="EI81" s="3">
        <f t="shared" si="69"/>
        <v>0</v>
      </c>
      <c r="EJ81" s="3">
        <f t="shared" si="69"/>
        <v>0</v>
      </c>
      <c r="EK81" s="3">
        <f t="shared" si="69"/>
        <v>0</v>
      </c>
      <c r="EL81" s="3">
        <f t="shared" si="69"/>
        <v>0</v>
      </c>
      <c r="EM81" s="3">
        <f t="shared" ref="EM81:FR81" si="70">EM99</f>
        <v>0</v>
      </c>
      <c r="EN81" s="3">
        <f t="shared" si="70"/>
        <v>0</v>
      </c>
      <c r="EO81" s="3">
        <f t="shared" si="70"/>
        <v>0</v>
      </c>
      <c r="EP81" s="3">
        <f t="shared" si="70"/>
        <v>0</v>
      </c>
      <c r="EQ81" s="3">
        <f t="shared" si="70"/>
        <v>0</v>
      </c>
      <c r="ER81" s="3">
        <f t="shared" si="70"/>
        <v>0</v>
      </c>
      <c r="ES81" s="3">
        <f t="shared" si="70"/>
        <v>0</v>
      </c>
      <c r="ET81" s="3">
        <f t="shared" si="70"/>
        <v>0</v>
      </c>
      <c r="EU81" s="3">
        <f t="shared" si="70"/>
        <v>0</v>
      </c>
      <c r="EV81" s="3">
        <f t="shared" si="70"/>
        <v>0</v>
      </c>
      <c r="EW81" s="3">
        <f t="shared" si="70"/>
        <v>0</v>
      </c>
      <c r="EX81" s="3">
        <f t="shared" si="70"/>
        <v>0</v>
      </c>
      <c r="EY81" s="3">
        <f t="shared" si="70"/>
        <v>0</v>
      </c>
      <c r="EZ81" s="3">
        <f t="shared" si="70"/>
        <v>0</v>
      </c>
      <c r="FA81" s="3">
        <f t="shared" si="70"/>
        <v>0</v>
      </c>
      <c r="FB81" s="3">
        <f t="shared" si="70"/>
        <v>0</v>
      </c>
      <c r="FC81" s="3">
        <f t="shared" si="70"/>
        <v>0</v>
      </c>
      <c r="FD81" s="3">
        <f t="shared" si="70"/>
        <v>0</v>
      </c>
      <c r="FE81" s="3">
        <f t="shared" si="70"/>
        <v>0</v>
      </c>
      <c r="FF81" s="3">
        <f t="shared" si="70"/>
        <v>0</v>
      </c>
      <c r="FG81" s="3">
        <f t="shared" si="70"/>
        <v>0</v>
      </c>
      <c r="FH81" s="3">
        <f t="shared" si="70"/>
        <v>0</v>
      </c>
      <c r="FI81" s="3">
        <f t="shared" si="70"/>
        <v>0</v>
      </c>
      <c r="FJ81" s="3">
        <f t="shared" si="70"/>
        <v>0</v>
      </c>
      <c r="FK81" s="3">
        <f t="shared" si="70"/>
        <v>0</v>
      </c>
      <c r="FL81" s="3">
        <f t="shared" si="70"/>
        <v>0</v>
      </c>
      <c r="FM81" s="3">
        <f t="shared" si="70"/>
        <v>0</v>
      </c>
      <c r="FN81" s="3">
        <f t="shared" si="70"/>
        <v>0</v>
      </c>
      <c r="FO81" s="3">
        <f t="shared" si="70"/>
        <v>0</v>
      </c>
      <c r="FP81" s="3">
        <f t="shared" si="70"/>
        <v>0</v>
      </c>
      <c r="FQ81" s="3">
        <f t="shared" si="70"/>
        <v>0</v>
      </c>
      <c r="FR81" s="3">
        <f t="shared" si="70"/>
        <v>0</v>
      </c>
      <c r="FS81" s="3">
        <f t="shared" ref="FS81:GX81" si="71">FS99</f>
        <v>0</v>
      </c>
      <c r="FT81" s="3">
        <f t="shared" si="71"/>
        <v>0</v>
      </c>
      <c r="FU81" s="3">
        <f t="shared" si="71"/>
        <v>0</v>
      </c>
      <c r="FV81" s="3">
        <f t="shared" si="71"/>
        <v>0</v>
      </c>
      <c r="FW81" s="3">
        <f t="shared" si="71"/>
        <v>0</v>
      </c>
      <c r="FX81" s="3">
        <f t="shared" si="71"/>
        <v>0</v>
      </c>
      <c r="FY81" s="3">
        <f t="shared" si="71"/>
        <v>0</v>
      </c>
      <c r="FZ81" s="3">
        <f t="shared" si="71"/>
        <v>0</v>
      </c>
      <c r="GA81" s="3">
        <f t="shared" si="71"/>
        <v>0</v>
      </c>
      <c r="GB81" s="3">
        <f t="shared" si="71"/>
        <v>0</v>
      </c>
      <c r="GC81" s="3">
        <f t="shared" si="71"/>
        <v>0</v>
      </c>
      <c r="GD81" s="3">
        <f t="shared" si="71"/>
        <v>0</v>
      </c>
      <c r="GE81" s="3">
        <f t="shared" si="71"/>
        <v>0</v>
      </c>
      <c r="GF81" s="3">
        <f t="shared" si="71"/>
        <v>0</v>
      </c>
      <c r="GG81" s="3">
        <f t="shared" si="71"/>
        <v>0</v>
      </c>
      <c r="GH81" s="3">
        <f t="shared" si="71"/>
        <v>0</v>
      </c>
      <c r="GI81" s="3">
        <f t="shared" si="71"/>
        <v>0</v>
      </c>
      <c r="GJ81" s="3">
        <f t="shared" si="71"/>
        <v>0</v>
      </c>
      <c r="GK81" s="3">
        <f t="shared" si="71"/>
        <v>0</v>
      </c>
      <c r="GL81" s="3">
        <f t="shared" si="71"/>
        <v>0</v>
      </c>
      <c r="GM81" s="3">
        <f t="shared" si="71"/>
        <v>0</v>
      </c>
      <c r="GN81" s="3">
        <f t="shared" si="71"/>
        <v>0</v>
      </c>
      <c r="GO81" s="3">
        <f t="shared" si="71"/>
        <v>0</v>
      </c>
      <c r="GP81" s="3">
        <f t="shared" si="71"/>
        <v>0</v>
      </c>
      <c r="GQ81" s="3">
        <f t="shared" si="71"/>
        <v>0</v>
      </c>
      <c r="GR81" s="3">
        <f t="shared" si="71"/>
        <v>0</v>
      </c>
      <c r="GS81" s="3">
        <f t="shared" si="71"/>
        <v>0</v>
      </c>
      <c r="GT81" s="3">
        <f t="shared" si="71"/>
        <v>0</v>
      </c>
      <c r="GU81" s="3">
        <f t="shared" si="71"/>
        <v>0</v>
      </c>
      <c r="GV81" s="3">
        <f t="shared" si="71"/>
        <v>0</v>
      </c>
      <c r="GW81" s="3">
        <f t="shared" si="71"/>
        <v>0</v>
      </c>
      <c r="GX81" s="3">
        <f t="shared" si="71"/>
        <v>0</v>
      </c>
    </row>
    <row r="83" spans="1:245">
      <c r="A83">
        <v>17</v>
      </c>
      <c r="B83">
        <v>1</v>
      </c>
      <c r="C83">
        <f>ROW(SmtRes!A35)</f>
        <v>35</v>
      </c>
      <c r="D83">
        <f>ROW(EtalonRes!A35)</f>
        <v>35</v>
      </c>
      <c r="E83" t="s">
        <v>155</v>
      </c>
      <c r="F83" t="s">
        <v>156</v>
      </c>
      <c r="G83" t="s">
        <v>157</v>
      </c>
      <c r="H83" t="s">
        <v>158</v>
      </c>
      <c r="I83">
        <f>ROUND(379/100,7)</f>
        <v>3.79</v>
      </c>
      <c r="J83">
        <v>0</v>
      </c>
      <c r="K83">
        <f>ROUND(379/100,7)</f>
        <v>3.79</v>
      </c>
      <c r="O83">
        <f t="shared" ref="O83:O97" si="72">ROUND(CP83,2)</f>
        <v>1910.08</v>
      </c>
      <c r="P83">
        <f t="shared" ref="P83:P97" si="73">ROUND(CQ83*I83,2)</f>
        <v>3.75</v>
      </c>
      <c r="Q83">
        <f t="shared" ref="Q83:Q97" si="74">ROUND(CR83*I83,2)</f>
        <v>1647.13</v>
      </c>
      <c r="R83">
        <f t="shared" ref="R83:R97" si="75">ROUND(CS83*I83,2)</f>
        <v>0</v>
      </c>
      <c r="S83">
        <f t="shared" ref="S83:S97" si="76">ROUND(CT83*I83,2)</f>
        <v>259.2</v>
      </c>
      <c r="T83">
        <f t="shared" ref="T83:T97" si="77">ROUND(CU83*I83,2)</f>
        <v>0</v>
      </c>
      <c r="U83">
        <f t="shared" ref="U83:U97" si="78">CV83*I83</f>
        <v>27.720059999999997</v>
      </c>
      <c r="V83">
        <f t="shared" ref="V83:V97" si="79">CW83*I83</f>
        <v>0</v>
      </c>
      <c r="W83">
        <f t="shared" ref="W83:W97" si="80">ROUND(CX83*I83,2)</f>
        <v>0</v>
      </c>
      <c r="X83">
        <f t="shared" ref="X83:X97" si="81">ROUND(CY83,2)</f>
        <v>251.42</v>
      </c>
      <c r="Y83">
        <f t="shared" ref="Y83:Y97" si="82">ROUND(CZ83,2)</f>
        <v>132.19</v>
      </c>
      <c r="AA83">
        <v>47920234</v>
      </c>
      <c r="AB83">
        <f t="shared" ref="AB83:AB97" si="83">ROUND((AC83+AD83+AF83),2)</f>
        <v>503.98</v>
      </c>
      <c r="AC83">
        <f t="shared" ref="AC83:AC97" si="84">ROUND((ES83),2)</f>
        <v>0.99</v>
      </c>
      <c r="AD83">
        <f>ROUND(((((ET83*ROUND((1.2*1.15),7)))-((EU83*ROUND((1.2*1.15),7))))+AE83),2)</f>
        <v>434.6</v>
      </c>
      <c r="AE83">
        <f t="shared" ref="AE83:AF86" si="85">ROUND(((EU83*ROUND((1.2*1.15),7))),2)</f>
        <v>0</v>
      </c>
      <c r="AF83">
        <f t="shared" si="85"/>
        <v>68.39</v>
      </c>
      <c r="AG83">
        <f t="shared" ref="AG83:AG97" si="86">ROUND((AP83),2)</f>
        <v>0</v>
      </c>
      <c r="AH83">
        <f t="shared" ref="AH83:AI86" si="87">((EW83*ROUND((1.2*1.15),7)))</f>
        <v>7.3139999999999992</v>
      </c>
      <c r="AI83">
        <f t="shared" si="87"/>
        <v>0</v>
      </c>
      <c r="AJ83">
        <f t="shared" ref="AJ83:AJ97" si="88">(AS83)</f>
        <v>0</v>
      </c>
      <c r="AK83">
        <v>365.48</v>
      </c>
      <c r="AL83">
        <v>0.99</v>
      </c>
      <c r="AM83">
        <v>314.93</v>
      </c>
      <c r="AN83">
        <v>0</v>
      </c>
      <c r="AO83">
        <v>49.56</v>
      </c>
      <c r="AP83">
        <v>0</v>
      </c>
      <c r="AQ83">
        <v>5.3</v>
      </c>
      <c r="AR83">
        <v>0</v>
      </c>
      <c r="AS83">
        <v>0</v>
      </c>
      <c r="AT83">
        <v>97</v>
      </c>
      <c r="AU83">
        <v>51</v>
      </c>
      <c r="AV83">
        <v>1</v>
      </c>
      <c r="AW83">
        <v>1</v>
      </c>
      <c r="AZ83">
        <v>1</v>
      </c>
      <c r="BA83">
        <v>28.93</v>
      </c>
      <c r="BB83">
        <v>1</v>
      </c>
      <c r="BC83">
        <v>1</v>
      </c>
      <c r="BD83" t="s">
        <v>3</v>
      </c>
      <c r="BE83" t="s">
        <v>3</v>
      </c>
      <c r="BF83" t="s">
        <v>3</v>
      </c>
      <c r="BG83" t="s">
        <v>3</v>
      </c>
      <c r="BH83">
        <v>0</v>
      </c>
      <c r="BI83">
        <v>2</v>
      </c>
      <c r="BJ83" t="s">
        <v>159</v>
      </c>
      <c r="BM83">
        <v>108001</v>
      </c>
      <c r="BN83">
        <v>0</v>
      </c>
      <c r="BO83" t="s">
        <v>3</v>
      </c>
      <c r="BP83">
        <v>0</v>
      </c>
      <c r="BQ83">
        <v>3</v>
      </c>
      <c r="BR83">
        <v>0</v>
      </c>
      <c r="BS83">
        <v>28.93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3</v>
      </c>
      <c r="BZ83">
        <v>97</v>
      </c>
      <c r="CA83">
        <v>51</v>
      </c>
      <c r="CB83" t="s">
        <v>3</v>
      </c>
      <c r="CE83">
        <v>0</v>
      </c>
      <c r="CF83">
        <v>0</v>
      </c>
      <c r="CG83">
        <v>0</v>
      </c>
      <c r="CM83">
        <v>0</v>
      </c>
      <c r="CN83" t="s">
        <v>3</v>
      </c>
      <c r="CO83">
        <v>0</v>
      </c>
      <c r="CP83">
        <f t="shared" ref="CP83:CP97" si="89">(P83+Q83+S83)</f>
        <v>1910.0800000000002</v>
      </c>
      <c r="CQ83">
        <f t="shared" ref="CQ83:CQ97" si="90">AC83*BC83</f>
        <v>0.99</v>
      </c>
      <c r="CR83">
        <f t="shared" ref="CR83:CR97" si="91">AD83*BB83</f>
        <v>434.6</v>
      </c>
      <c r="CS83">
        <f t="shared" ref="CS83:CS97" si="92">AE83</f>
        <v>0</v>
      </c>
      <c r="CT83">
        <f t="shared" ref="CT83:CT97" si="93">AF83</f>
        <v>68.39</v>
      </c>
      <c r="CU83">
        <f t="shared" ref="CU83:CU97" si="94">AG83</f>
        <v>0</v>
      </c>
      <c r="CV83">
        <f t="shared" ref="CV83:CV97" si="95">AH83</f>
        <v>7.3139999999999992</v>
      </c>
      <c r="CW83">
        <f t="shared" ref="CW83:CW97" si="96">AI83</f>
        <v>0</v>
      </c>
      <c r="CX83">
        <f t="shared" ref="CX83:CX97" si="97">AJ83</f>
        <v>0</v>
      </c>
      <c r="CY83">
        <f t="shared" ref="CY83:CY97" si="98">(((S83+R83)*AT83)/100)</f>
        <v>251.42399999999998</v>
      </c>
      <c r="CZ83">
        <f t="shared" ref="CZ83:CZ97" si="99">(((S83+R83)*AU83)/100)</f>
        <v>132.19199999999998</v>
      </c>
      <c r="DC83" t="s">
        <v>3</v>
      </c>
      <c r="DD83" t="s">
        <v>3</v>
      </c>
      <c r="DE83" t="s">
        <v>20</v>
      </c>
      <c r="DF83" t="s">
        <v>20</v>
      </c>
      <c r="DG83" t="s">
        <v>20</v>
      </c>
      <c r="DH83" t="s">
        <v>3</v>
      </c>
      <c r="DI83" t="s">
        <v>20</v>
      </c>
      <c r="DJ83" t="s">
        <v>20</v>
      </c>
      <c r="DK83" t="s">
        <v>3</v>
      </c>
      <c r="DL83" t="s">
        <v>3</v>
      </c>
      <c r="DM83" t="s">
        <v>3</v>
      </c>
      <c r="DN83">
        <v>0</v>
      </c>
      <c r="DO83">
        <v>0</v>
      </c>
      <c r="DP83">
        <v>1</v>
      </c>
      <c r="DQ83">
        <v>1</v>
      </c>
      <c r="DU83">
        <v>1013</v>
      </c>
      <c r="DV83" t="s">
        <v>158</v>
      </c>
      <c r="DW83" t="s">
        <v>158</v>
      </c>
      <c r="DX83">
        <v>1</v>
      </c>
      <c r="DZ83" t="s">
        <v>3</v>
      </c>
      <c r="EA83" t="s">
        <v>3</v>
      </c>
      <c r="EB83" t="s">
        <v>3</v>
      </c>
      <c r="EC83" t="s">
        <v>3</v>
      </c>
      <c r="EE83">
        <v>41328166</v>
      </c>
      <c r="EF83">
        <v>3</v>
      </c>
      <c r="EG83" t="s">
        <v>154</v>
      </c>
      <c r="EH83">
        <v>0</v>
      </c>
      <c r="EI83" t="s">
        <v>3</v>
      </c>
      <c r="EJ83">
        <v>2</v>
      </c>
      <c r="EK83">
        <v>108001</v>
      </c>
      <c r="EL83" t="s">
        <v>160</v>
      </c>
      <c r="EM83" t="s">
        <v>161</v>
      </c>
      <c r="EO83" t="s">
        <v>3</v>
      </c>
      <c r="EQ83">
        <v>131072</v>
      </c>
      <c r="ER83">
        <v>365.48</v>
      </c>
      <c r="ES83">
        <v>0.99</v>
      </c>
      <c r="ET83">
        <v>314.93</v>
      </c>
      <c r="EU83">
        <v>0</v>
      </c>
      <c r="EV83">
        <v>49.56</v>
      </c>
      <c r="EW83">
        <v>5.3</v>
      </c>
      <c r="EX83">
        <v>0</v>
      </c>
      <c r="EY83">
        <v>0</v>
      </c>
      <c r="FQ83">
        <v>0</v>
      </c>
      <c r="FR83">
        <f t="shared" ref="FR83:FR97" si="100">ROUND(IF(AND(BH83=3,BI83=3),P83,0),2)</f>
        <v>0</v>
      </c>
      <c r="FS83">
        <v>0</v>
      </c>
      <c r="FX83">
        <v>97</v>
      </c>
      <c r="FY83">
        <v>51</v>
      </c>
      <c r="GA83" t="s">
        <v>3</v>
      </c>
      <c r="GD83">
        <v>1</v>
      </c>
      <c r="GF83">
        <v>1149947018</v>
      </c>
      <c r="GG83">
        <v>2</v>
      </c>
      <c r="GH83">
        <v>1</v>
      </c>
      <c r="GI83">
        <v>4</v>
      </c>
      <c r="GJ83">
        <v>0</v>
      </c>
      <c r="GK83">
        <v>0</v>
      </c>
      <c r="GL83">
        <f t="shared" ref="GL83:GL97" si="101">ROUND(IF(AND(BH83=3,BI83=3,FS83&lt;&gt;0),P83,0),2)</f>
        <v>0</v>
      </c>
      <c r="GM83">
        <f t="shared" ref="GM83:GM97" si="102">ROUND(O83+X83+Y83,2)+GX83</f>
        <v>2293.69</v>
      </c>
      <c r="GN83">
        <f t="shared" ref="GN83:GN97" si="103">IF(OR(BI83=0,BI83=1),ROUND(O83+X83+Y83,2),0)</f>
        <v>0</v>
      </c>
      <c r="GO83">
        <f t="shared" ref="GO83:GO97" si="104">IF(BI83=2,ROUND(O83+X83+Y83,2),0)</f>
        <v>2293.69</v>
      </c>
      <c r="GP83">
        <f t="shared" ref="GP83:GP97" si="105">IF(BI83=4,ROUND(O83+X83+Y83,2)+GX83,0)</f>
        <v>0</v>
      </c>
      <c r="GR83">
        <v>0</v>
      </c>
      <c r="GS83">
        <v>3</v>
      </c>
      <c r="GT83">
        <v>0</v>
      </c>
      <c r="GU83" t="s">
        <v>3</v>
      </c>
      <c r="GV83">
        <f t="shared" ref="GV83:GV97" si="106">ROUND((GT83),2)</f>
        <v>0</v>
      </c>
      <c r="GW83">
        <v>1</v>
      </c>
      <c r="GX83">
        <f t="shared" ref="GX83:GX97" si="107">ROUND(HC83*I83,2)</f>
        <v>0</v>
      </c>
      <c r="HA83">
        <v>0</v>
      </c>
      <c r="HB83">
        <v>0</v>
      </c>
      <c r="HC83">
        <f t="shared" ref="HC83:HC97" si="108">GV83*GW83</f>
        <v>0</v>
      </c>
      <c r="HE83" t="s">
        <v>3</v>
      </c>
      <c r="HF83" t="s">
        <v>3</v>
      </c>
      <c r="HI83">
        <f t="shared" ref="HI83:HI97" si="109">ROUND(R83*BS83,2)</f>
        <v>0</v>
      </c>
      <c r="HJ83">
        <f t="shared" ref="HJ83:HJ97" si="110">ROUND(S83*BA83,2)</f>
        <v>7498.66</v>
      </c>
      <c r="HK83">
        <f t="shared" ref="HK83:HK97" si="111">ROUND((((HJ83+HI83)*AT83)/100),2)</f>
        <v>7273.7</v>
      </c>
      <c r="HL83">
        <f t="shared" ref="HL83:HL97" si="112">ROUND((((HJ83+HI83)*AU83)/100),2)</f>
        <v>3824.32</v>
      </c>
      <c r="HM83" t="s">
        <v>3</v>
      </c>
      <c r="HN83" t="s">
        <v>162</v>
      </c>
      <c r="HO83" t="s">
        <v>163</v>
      </c>
      <c r="HP83" t="s">
        <v>160</v>
      </c>
      <c r="HQ83" t="s">
        <v>160</v>
      </c>
      <c r="IK83">
        <v>0</v>
      </c>
    </row>
    <row r="84" spans="1:245">
      <c r="A84">
        <v>17</v>
      </c>
      <c r="B84">
        <v>1</v>
      </c>
      <c r="C84">
        <f>ROW(SmtRes!A39)</f>
        <v>39</v>
      </c>
      <c r="D84">
        <f>ROW(EtalonRes!A39)</f>
        <v>39</v>
      </c>
      <c r="E84" t="s">
        <v>164</v>
      </c>
      <c r="F84" t="s">
        <v>165</v>
      </c>
      <c r="G84" t="s">
        <v>166</v>
      </c>
      <c r="H84" t="s">
        <v>158</v>
      </c>
      <c r="I84">
        <f>ROUND(379/100,7)</f>
        <v>3.79</v>
      </c>
      <c r="J84">
        <v>0</v>
      </c>
      <c r="K84">
        <f>ROUND(379/100,7)</f>
        <v>3.79</v>
      </c>
      <c r="O84">
        <f t="shared" si="72"/>
        <v>132.5</v>
      </c>
      <c r="P84">
        <f t="shared" si="73"/>
        <v>1.4</v>
      </c>
      <c r="Q84">
        <f t="shared" si="74"/>
        <v>33.770000000000003</v>
      </c>
      <c r="R84">
        <f t="shared" si="75"/>
        <v>0</v>
      </c>
      <c r="S84">
        <f t="shared" si="76"/>
        <v>97.33</v>
      </c>
      <c r="T84">
        <f t="shared" si="77"/>
        <v>0</v>
      </c>
      <c r="U84">
        <f t="shared" si="78"/>
        <v>10.408098000000001</v>
      </c>
      <c r="V84">
        <f t="shared" si="79"/>
        <v>0.41841600000000001</v>
      </c>
      <c r="W84">
        <f t="shared" si="80"/>
        <v>0</v>
      </c>
      <c r="X84">
        <f t="shared" si="81"/>
        <v>94.41</v>
      </c>
      <c r="Y84">
        <f t="shared" si="82"/>
        <v>49.64</v>
      </c>
      <c r="AA84">
        <v>47920234</v>
      </c>
      <c r="AB84">
        <f t="shared" si="83"/>
        <v>34.96</v>
      </c>
      <c r="AC84">
        <f t="shared" si="84"/>
        <v>0.37</v>
      </c>
      <c r="AD84">
        <f>ROUND(((((ET84*ROUND((1.2*1.15),7)))-((EU84*ROUND((1.2*1.15),7))))+AE84),2)</f>
        <v>8.91</v>
      </c>
      <c r="AE84">
        <f t="shared" si="85"/>
        <v>0</v>
      </c>
      <c r="AF84">
        <f t="shared" si="85"/>
        <v>25.68</v>
      </c>
      <c r="AG84">
        <f t="shared" si="86"/>
        <v>0</v>
      </c>
      <c r="AH84">
        <f t="shared" si="87"/>
        <v>2.7462</v>
      </c>
      <c r="AI84">
        <f t="shared" si="87"/>
        <v>0.1104</v>
      </c>
      <c r="AJ84">
        <f t="shared" si="88"/>
        <v>0</v>
      </c>
      <c r="AK84">
        <v>25.44</v>
      </c>
      <c r="AL84">
        <v>0.37</v>
      </c>
      <c r="AM84">
        <v>6.46</v>
      </c>
      <c r="AN84">
        <v>0</v>
      </c>
      <c r="AO84">
        <v>18.61</v>
      </c>
      <c r="AP84">
        <v>0</v>
      </c>
      <c r="AQ84">
        <v>1.99</v>
      </c>
      <c r="AR84">
        <v>0.08</v>
      </c>
      <c r="AS84">
        <v>0</v>
      </c>
      <c r="AT84">
        <v>97</v>
      </c>
      <c r="AU84">
        <v>51</v>
      </c>
      <c r="AV84">
        <v>1</v>
      </c>
      <c r="AW84">
        <v>1</v>
      </c>
      <c r="AZ84">
        <v>1</v>
      </c>
      <c r="BA84">
        <v>28.93</v>
      </c>
      <c r="BB84">
        <v>1</v>
      </c>
      <c r="BC84">
        <v>1</v>
      </c>
      <c r="BD84" t="s">
        <v>3</v>
      </c>
      <c r="BE84" t="s">
        <v>3</v>
      </c>
      <c r="BF84" t="s">
        <v>3</v>
      </c>
      <c r="BG84" t="s">
        <v>3</v>
      </c>
      <c r="BH84">
        <v>0</v>
      </c>
      <c r="BI84">
        <v>2</v>
      </c>
      <c r="BJ84" t="s">
        <v>167</v>
      </c>
      <c r="BM84">
        <v>108001</v>
      </c>
      <c r="BN84">
        <v>0</v>
      </c>
      <c r="BO84" t="s">
        <v>3</v>
      </c>
      <c r="BP84">
        <v>0</v>
      </c>
      <c r="BQ84">
        <v>3</v>
      </c>
      <c r="BR84">
        <v>0</v>
      </c>
      <c r="BS84">
        <v>28.93</v>
      </c>
      <c r="BT84">
        <v>1</v>
      </c>
      <c r="BU84">
        <v>1</v>
      </c>
      <c r="BV84">
        <v>1</v>
      </c>
      <c r="BW84">
        <v>1</v>
      </c>
      <c r="BX84">
        <v>1</v>
      </c>
      <c r="BY84" t="s">
        <v>3</v>
      </c>
      <c r="BZ84">
        <v>97</v>
      </c>
      <c r="CA84">
        <v>51</v>
      </c>
      <c r="CB84" t="s">
        <v>3</v>
      </c>
      <c r="CE84">
        <v>0</v>
      </c>
      <c r="CF84">
        <v>0</v>
      </c>
      <c r="CG84">
        <v>0</v>
      </c>
      <c r="CM84">
        <v>0</v>
      </c>
      <c r="CN84" t="s">
        <v>3</v>
      </c>
      <c r="CO84">
        <v>0</v>
      </c>
      <c r="CP84">
        <f t="shared" si="89"/>
        <v>132.5</v>
      </c>
      <c r="CQ84">
        <f t="shared" si="90"/>
        <v>0.37</v>
      </c>
      <c r="CR84">
        <f t="shared" si="91"/>
        <v>8.91</v>
      </c>
      <c r="CS84">
        <f t="shared" si="92"/>
        <v>0</v>
      </c>
      <c r="CT84">
        <f t="shared" si="93"/>
        <v>25.68</v>
      </c>
      <c r="CU84">
        <f t="shared" si="94"/>
        <v>0</v>
      </c>
      <c r="CV84">
        <f t="shared" si="95"/>
        <v>2.7462</v>
      </c>
      <c r="CW84">
        <f t="shared" si="96"/>
        <v>0.1104</v>
      </c>
      <c r="CX84">
        <f t="shared" si="97"/>
        <v>0</v>
      </c>
      <c r="CY84">
        <f t="shared" si="98"/>
        <v>94.4101</v>
      </c>
      <c r="CZ84">
        <f t="shared" si="99"/>
        <v>49.638300000000001</v>
      </c>
      <c r="DC84" t="s">
        <v>3</v>
      </c>
      <c r="DD84" t="s">
        <v>3</v>
      </c>
      <c r="DE84" t="s">
        <v>20</v>
      </c>
      <c r="DF84" t="s">
        <v>20</v>
      </c>
      <c r="DG84" t="s">
        <v>20</v>
      </c>
      <c r="DH84" t="s">
        <v>3</v>
      </c>
      <c r="DI84" t="s">
        <v>20</v>
      </c>
      <c r="DJ84" t="s">
        <v>20</v>
      </c>
      <c r="DK84" t="s">
        <v>3</v>
      </c>
      <c r="DL84" t="s">
        <v>3</v>
      </c>
      <c r="DM84" t="s">
        <v>3</v>
      </c>
      <c r="DN84">
        <v>0</v>
      </c>
      <c r="DO84">
        <v>0</v>
      </c>
      <c r="DP84">
        <v>1</v>
      </c>
      <c r="DQ84">
        <v>1</v>
      </c>
      <c r="DU84">
        <v>1013</v>
      </c>
      <c r="DV84" t="s">
        <v>158</v>
      </c>
      <c r="DW84" t="s">
        <v>158</v>
      </c>
      <c r="DX84">
        <v>1</v>
      </c>
      <c r="DZ84" t="s">
        <v>3</v>
      </c>
      <c r="EA84" t="s">
        <v>3</v>
      </c>
      <c r="EB84" t="s">
        <v>3</v>
      </c>
      <c r="EC84" t="s">
        <v>3</v>
      </c>
      <c r="EE84">
        <v>41328166</v>
      </c>
      <c r="EF84">
        <v>3</v>
      </c>
      <c r="EG84" t="s">
        <v>154</v>
      </c>
      <c r="EH84">
        <v>0</v>
      </c>
      <c r="EI84" t="s">
        <v>3</v>
      </c>
      <c r="EJ84">
        <v>2</v>
      </c>
      <c r="EK84">
        <v>108001</v>
      </c>
      <c r="EL84" t="s">
        <v>160</v>
      </c>
      <c r="EM84" t="s">
        <v>161</v>
      </c>
      <c r="EO84" t="s">
        <v>3</v>
      </c>
      <c r="EQ84">
        <v>131072</v>
      </c>
      <c r="ER84">
        <v>25.44</v>
      </c>
      <c r="ES84">
        <v>0.37</v>
      </c>
      <c r="ET84">
        <v>6.46</v>
      </c>
      <c r="EU84">
        <v>0</v>
      </c>
      <c r="EV84">
        <v>18.61</v>
      </c>
      <c r="EW84">
        <v>1.99</v>
      </c>
      <c r="EX84">
        <v>0.08</v>
      </c>
      <c r="EY84">
        <v>0</v>
      </c>
      <c r="FQ84">
        <v>0</v>
      </c>
      <c r="FR84">
        <f t="shared" si="100"/>
        <v>0</v>
      </c>
      <c r="FS84">
        <v>0</v>
      </c>
      <c r="FX84">
        <v>97</v>
      </c>
      <c r="FY84">
        <v>51</v>
      </c>
      <c r="GA84" t="s">
        <v>3</v>
      </c>
      <c r="GD84">
        <v>1</v>
      </c>
      <c r="GF84">
        <v>-207058191</v>
      </c>
      <c r="GG84">
        <v>2</v>
      </c>
      <c r="GH84">
        <v>1</v>
      </c>
      <c r="GI84">
        <v>4</v>
      </c>
      <c r="GJ84">
        <v>0</v>
      </c>
      <c r="GK84">
        <v>0</v>
      </c>
      <c r="GL84">
        <f t="shared" si="101"/>
        <v>0</v>
      </c>
      <c r="GM84">
        <f t="shared" si="102"/>
        <v>276.55</v>
      </c>
      <c r="GN84">
        <f t="shared" si="103"/>
        <v>0</v>
      </c>
      <c r="GO84">
        <f t="shared" si="104"/>
        <v>276.55</v>
      </c>
      <c r="GP84">
        <f t="shared" si="105"/>
        <v>0</v>
      </c>
      <c r="GR84">
        <v>0</v>
      </c>
      <c r="GS84">
        <v>3</v>
      </c>
      <c r="GT84">
        <v>0</v>
      </c>
      <c r="GU84" t="s">
        <v>3</v>
      </c>
      <c r="GV84">
        <f t="shared" si="106"/>
        <v>0</v>
      </c>
      <c r="GW84">
        <v>1</v>
      </c>
      <c r="GX84">
        <f t="shared" si="107"/>
        <v>0</v>
      </c>
      <c r="HA84">
        <v>0</v>
      </c>
      <c r="HB84">
        <v>0</v>
      </c>
      <c r="HC84">
        <f t="shared" si="108"/>
        <v>0</v>
      </c>
      <c r="HE84" t="s">
        <v>3</v>
      </c>
      <c r="HF84" t="s">
        <v>3</v>
      </c>
      <c r="HI84">
        <f t="shared" si="109"/>
        <v>0</v>
      </c>
      <c r="HJ84">
        <f t="shared" si="110"/>
        <v>2815.76</v>
      </c>
      <c r="HK84">
        <f t="shared" si="111"/>
        <v>2731.29</v>
      </c>
      <c r="HL84">
        <f t="shared" si="112"/>
        <v>1436.04</v>
      </c>
      <c r="HM84" t="s">
        <v>3</v>
      </c>
      <c r="HN84" t="s">
        <v>162</v>
      </c>
      <c r="HO84" t="s">
        <v>163</v>
      </c>
      <c r="HP84" t="s">
        <v>160</v>
      </c>
      <c r="HQ84" t="s">
        <v>160</v>
      </c>
      <c r="IK84">
        <v>0</v>
      </c>
    </row>
    <row r="85" spans="1:245">
      <c r="A85">
        <v>17</v>
      </c>
      <c r="B85">
        <v>1</v>
      </c>
      <c r="C85">
        <f>ROW(SmtRes!A44)</f>
        <v>44</v>
      </c>
      <c r="D85">
        <f>ROW(EtalonRes!A44)</f>
        <v>44</v>
      </c>
      <c r="E85" t="s">
        <v>168</v>
      </c>
      <c r="F85" t="s">
        <v>169</v>
      </c>
      <c r="G85" t="s">
        <v>170</v>
      </c>
      <c r="H85" t="s">
        <v>158</v>
      </c>
      <c r="I85">
        <f>ROUND(375/100,7)</f>
        <v>3.75</v>
      </c>
      <c r="J85">
        <v>0</v>
      </c>
      <c r="K85">
        <f>ROUND(375/100,7)</f>
        <v>3.75</v>
      </c>
      <c r="O85">
        <f t="shared" si="72"/>
        <v>2381.75</v>
      </c>
      <c r="P85">
        <f t="shared" si="73"/>
        <v>3.64</v>
      </c>
      <c r="Q85">
        <f t="shared" si="74"/>
        <v>2126.0300000000002</v>
      </c>
      <c r="R85">
        <f t="shared" si="75"/>
        <v>117.49</v>
      </c>
      <c r="S85">
        <f t="shared" si="76"/>
        <v>252.08</v>
      </c>
      <c r="T85">
        <f t="shared" si="77"/>
        <v>0</v>
      </c>
      <c r="U85">
        <f t="shared" si="78"/>
        <v>26.961749999999995</v>
      </c>
      <c r="V85">
        <f t="shared" si="79"/>
        <v>8.95275</v>
      </c>
      <c r="W85">
        <f t="shared" si="80"/>
        <v>0</v>
      </c>
      <c r="X85">
        <f t="shared" si="81"/>
        <v>358.48</v>
      </c>
      <c r="Y85">
        <f t="shared" si="82"/>
        <v>188.48</v>
      </c>
      <c r="AA85">
        <v>47920234</v>
      </c>
      <c r="AB85">
        <f t="shared" si="83"/>
        <v>635.13</v>
      </c>
      <c r="AC85">
        <f t="shared" si="84"/>
        <v>0.97</v>
      </c>
      <c r="AD85">
        <f>ROUND(((((ET85*ROUND((1.2*1.15),7)))-((EU85*ROUND((1.2*1.15),7))))+AE85),2)</f>
        <v>566.94000000000005</v>
      </c>
      <c r="AE85">
        <f t="shared" si="85"/>
        <v>31.33</v>
      </c>
      <c r="AF85">
        <f t="shared" si="85"/>
        <v>67.22</v>
      </c>
      <c r="AG85">
        <f t="shared" si="86"/>
        <v>0</v>
      </c>
      <c r="AH85">
        <f t="shared" si="87"/>
        <v>7.1897999999999991</v>
      </c>
      <c r="AI85">
        <f t="shared" si="87"/>
        <v>2.3874</v>
      </c>
      <c r="AJ85">
        <f t="shared" si="88"/>
        <v>0</v>
      </c>
      <c r="AK85">
        <v>460.5</v>
      </c>
      <c r="AL85">
        <v>0.97</v>
      </c>
      <c r="AM85">
        <v>410.82</v>
      </c>
      <c r="AN85">
        <v>22.7</v>
      </c>
      <c r="AO85">
        <v>48.71</v>
      </c>
      <c r="AP85">
        <v>0</v>
      </c>
      <c r="AQ85">
        <v>5.21</v>
      </c>
      <c r="AR85">
        <v>1.73</v>
      </c>
      <c r="AS85">
        <v>0</v>
      </c>
      <c r="AT85">
        <v>97</v>
      </c>
      <c r="AU85">
        <v>51</v>
      </c>
      <c r="AV85">
        <v>1</v>
      </c>
      <c r="AW85">
        <v>1</v>
      </c>
      <c r="AZ85">
        <v>1</v>
      </c>
      <c r="BA85">
        <v>28.93</v>
      </c>
      <c r="BB85">
        <v>1</v>
      </c>
      <c r="BC85">
        <v>1</v>
      </c>
      <c r="BD85" t="s">
        <v>3</v>
      </c>
      <c r="BE85" t="s">
        <v>3</v>
      </c>
      <c r="BF85" t="s">
        <v>3</v>
      </c>
      <c r="BG85" t="s">
        <v>3</v>
      </c>
      <c r="BH85">
        <v>0</v>
      </c>
      <c r="BI85">
        <v>2</v>
      </c>
      <c r="BJ85" t="s">
        <v>171</v>
      </c>
      <c r="BM85">
        <v>108001</v>
      </c>
      <c r="BN85">
        <v>0</v>
      </c>
      <c r="BO85" t="s">
        <v>3</v>
      </c>
      <c r="BP85">
        <v>0</v>
      </c>
      <c r="BQ85">
        <v>3</v>
      </c>
      <c r="BR85">
        <v>0</v>
      </c>
      <c r="BS85">
        <v>28.93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3</v>
      </c>
      <c r="BZ85">
        <v>97</v>
      </c>
      <c r="CA85">
        <v>51</v>
      </c>
      <c r="CB85" t="s">
        <v>3</v>
      </c>
      <c r="CE85">
        <v>0</v>
      </c>
      <c r="CF85">
        <v>0</v>
      </c>
      <c r="CG85">
        <v>0</v>
      </c>
      <c r="CM85">
        <v>0</v>
      </c>
      <c r="CN85" t="s">
        <v>3</v>
      </c>
      <c r="CO85">
        <v>0</v>
      </c>
      <c r="CP85">
        <f t="shared" si="89"/>
        <v>2381.75</v>
      </c>
      <c r="CQ85">
        <f t="shared" si="90"/>
        <v>0.97</v>
      </c>
      <c r="CR85">
        <f t="shared" si="91"/>
        <v>566.94000000000005</v>
      </c>
      <c r="CS85">
        <f t="shared" si="92"/>
        <v>31.33</v>
      </c>
      <c r="CT85">
        <f t="shared" si="93"/>
        <v>67.22</v>
      </c>
      <c r="CU85">
        <f t="shared" si="94"/>
        <v>0</v>
      </c>
      <c r="CV85">
        <f t="shared" si="95"/>
        <v>7.1897999999999991</v>
      </c>
      <c r="CW85">
        <f t="shared" si="96"/>
        <v>2.3874</v>
      </c>
      <c r="CX85">
        <f t="shared" si="97"/>
        <v>0</v>
      </c>
      <c r="CY85">
        <f t="shared" si="98"/>
        <v>358.48290000000003</v>
      </c>
      <c r="CZ85">
        <f t="shared" si="99"/>
        <v>188.48069999999998</v>
      </c>
      <c r="DC85" t="s">
        <v>3</v>
      </c>
      <c r="DD85" t="s">
        <v>3</v>
      </c>
      <c r="DE85" t="s">
        <v>20</v>
      </c>
      <c r="DF85" t="s">
        <v>20</v>
      </c>
      <c r="DG85" t="s">
        <v>20</v>
      </c>
      <c r="DH85" t="s">
        <v>3</v>
      </c>
      <c r="DI85" t="s">
        <v>20</v>
      </c>
      <c r="DJ85" t="s">
        <v>20</v>
      </c>
      <c r="DK85" t="s">
        <v>3</v>
      </c>
      <c r="DL85" t="s">
        <v>3</v>
      </c>
      <c r="DM85" t="s">
        <v>3</v>
      </c>
      <c r="DN85">
        <v>0</v>
      </c>
      <c r="DO85">
        <v>0</v>
      </c>
      <c r="DP85">
        <v>1</v>
      </c>
      <c r="DQ85">
        <v>1</v>
      </c>
      <c r="DU85">
        <v>1013</v>
      </c>
      <c r="DV85" t="s">
        <v>158</v>
      </c>
      <c r="DW85" t="s">
        <v>158</v>
      </c>
      <c r="DX85">
        <v>1</v>
      </c>
      <c r="DZ85" t="s">
        <v>3</v>
      </c>
      <c r="EA85" t="s">
        <v>3</v>
      </c>
      <c r="EB85" t="s">
        <v>3</v>
      </c>
      <c r="EC85" t="s">
        <v>3</v>
      </c>
      <c r="EE85">
        <v>41328166</v>
      </c>
      <c r="EF85">
        <v>3</v>
      </c>
      <c r="EG85" t="s">
        <v>154</v>
      </c>
      <c r="EH85">
        <v>0</v>
      </c>
      <c r="EI85" t="s">
        <v>3</v>
      </c>
      <c r="EJ85">
        <v>2</v>
      </c>
      <c r="EK85">
        <v>108001</v>
      </c>
      <c r="EL85" t="s">
        <v>160</v>
      </c>
      <c r="EM85" t="s">
        <v>161</v>
      </c>
      <c r="EO85" t="s">
        <v>3</v>
      </c>
      <c r="EQ85">
        <v>131072</v>
      </c>
      <c r="ER85">
        <v>460.5</v>
      </c>
      <c r="ES85">
        <v>0.97</v>
      </c>
      <c r="ET85">
        <v>410.82</v>
      </c>
      <c r="EU85">
        <v>22.7</v>
      </c>
      <c r="EV85">
        <v>48.71</v>
      </c>
      <c r="EW85">
        <v>5.21</v>
      </c>
      <c r="EX85">
        <v>1.73</v>
      </c>
      <c r="EY85">
        <v>0</v>
      </c>
      <c r="FQ85">
        <v>0</v>
      </c>
      <c r="FR85">
        <f t="shared" si="100"/>
        <v>0</v>
      </c>
      <c r="FS85">
        <v>0</v>
      </c>
      <c r="FX85">
        <v>97</v>
      </c>
      <c r="FY85">
        <v>51</v>
      </c>
      <c r="GA85" t="s">
        <v>3</v>
      </c>
      <c r="GD85">
        <v>1</v>
      </c>
      <c r="GF85">
        <v>-26547895</v>
      </c>
      <c r="GG85">
        <v>2</v>
      </c>
      <c r="GH85">
        <v>1</v>
      </c>
      <c r="GI85">
        <v>4</v>
      </c>
      <c r="GJ85">
        <v>0</v>
      </c>
      <c r="GK85">
        <v>0</v>
      </c>
      <c r="GL85">
        <f t="shared" si="101"/>
        <v>0</v>
      </c>
      <c r="GM85">
        <f t="shared" si="102"/>
        <v>2928.71</v>
      </c>
      <c r="GN85">
        <f t="shared" si="103"/>
        <v>0</v>
      </c>
      <c r="GO85">
        <f t="shared" si="104"/>
        <v>2928.71</v>
      </c>
      <c r="GP85">
        <f t="shared" si="105"/>
        <v>0</v>
      </c>
      <c r="GR85">
        <v>0</v>
      </c>
      <c r="GS85">
        <v>3</v>
      </c>
      <c r="GT85">
        <v>0</v>
      </c>
      <c r="GU85" t="s">
        <v>3</v>
      </c>
      <c r="GV85">
        <f t="shared" si="106"/>
        <v>0</v>
      </c>
      <c r="GW85">
        <v>1</v>
      </c>
      <c r="GX85">
        <f t="shared" si="107"/>
        <v>0</v>
      </c>
      <c r="HA85">
        <v>0</v>
      </c>
      <c r="HB85">
        <v>0</v>
      </c>
      <c r="HC85">
        <f t="shared" si="108"/>
        <v>0</v>
      </c>
      <c r="HE85" t="s">
        <v>3</v>
      </c>
      <c r="HF85" t="s">
        <v>3</v>
      </c>
      <c r="HI85">
        <f t="shared" si="109"/>
        <v>3398.99</v>
      </c>
      <c r="HJ85">
        <f t="shared" si="110"/>
        <v>7292.67</v>
      </c>
      <c r="HK85">
        <f t="shared" si="111"/>
        <v>10370.91</v>
      </c>
      <c r="HL85">
        <f t="shared" si="112"/>
        <v>5452.75</v>
      </c>
      <c r="HM85" t="s">
        <v>3</v>
      </c>
      <c r="HN85" t="s">
        <v>162</v>
      </c>
      <c r="HO85" t="s">
        <v>163</v>
      </c>
      <c r="HP85" t="s">
        <v>160</v>
      </c>
      <c r="HQ85" t="s">
        <v>160</v>
      </c>
      <c r="IK85">
        <v>0</v>
      </c>
    </row>
    <row r="86" spans="1:245">
      <c r="A86">
        <v>17</v>
      </c>
      <c r="B86">
        <v>1</v>
      </c>
      <c r="C86">
        <f>ROW(SmtRes!A49)</f>
        <v>49</v>
      </c>
      <c r="D86">
        <f>ROW(EtalonRes!A49)</f>
        <v>49</v>
      </c>
      <c r="E86" t="s">
        <v>172</v>
      </c>
      <c r="F86" t="s">
        <v>173</v>
      </c>
      <c r="G86" t="s">
        <v>174</v>
      </c>
      <c r="H86" t="s">
        <v>158</v>
      </c>
      <c r="I86">
        <f>ROUND(375/100,7)</f>
        <v>3.75</v>
      </c>
      <c r="J86">
        <v>0</v>
      </c>
      <c r="K86">
        <f>ROUND(375/100,7)</f>
        <v>3.75</v>
      </c>
      <c r="O86">
        <f t="shared" si="72"/>
        <v>1251.83</v>
      </c>
      <c r="P86">
        <f t="shared" si="73"/>
        <v>1.91</v>
      </c>
      <c r="Q86">
        <f t="shared" si="74"/>
        <v>1118.33</v>
      </c>
      <c r="R86">
        <f t="shared" si="75"/>
        <v>61.8</v>
      </c>
      <c r="S86">
        <f t="shared" si="76"/>
        <v>131.59</v>
      </c>
      <c r="T86">
        <f t="shared" si="77"/>
        <v>0</v>
      </c>
      <c r="U86">
        <f t="shared" si="78"/>
        <v>14.076000000000001</v>
      </c>
      <c r="V86">
        <f t="shared" si="79"/>
        <v>9.4184999999999999</v>
      </c>
      <c r="W86">
        <f t="shared" si="80"/>
        <v>0</v>
      </c>
      <c r="X86">
        <f t="shared" si="81"/>
        <v>187.59</v>
      </c>
      <c r="Y86">
        <f t="shared" si="82"/>
        <v>98.63</v>
      </c>
      <c r="AA86">
        <v>47920234</v>
      </c>
      <c r="AB86">
        <f t="shared" si="83"/>
        <v>333.82</v>
      </c>
      <c r="AC86">
        <f t="shared" si="84"/>
        <v>0.51</v>
      </c>
      <c r="AD86">
        <f>ROUND(((((ET86*ROUND((1.2*1.15),7)))-((EU86*ROUND((1.2*1.15),7))))+AE86),2)</f>
        <v>298.22000000000003</v>
      </c>
      <c r="AE86">
        <f t="shared" si="85"/>
        <v>16.48</v>
      </c>
      <c r="AF86">
        <f t="shared" si="85"/>
        <v>35.090000000000003</v>
      </c>
      <c r="AG86">
        <f t="shared" si="86"/>
        <v>0</v>
      </c>
      <c r="AH86">
        <f t="shared" si="87"/>
        <v>3.7536</v>
      </c>
      <c r="AI86">
        <f t="shared" si="87"/>
        <v>2.5116000000000001</v>
      </c>
      <c r="AJ86">
        <f t="shared" si="88"/>
        <v>0</v>
      </c>
      <c r="AK86">
        <v>242.04</v>
      </c>
      <c r="AL86">
        <v>0.51</v>
      </c>
      <c r="AM86">
        <v>216.1</v>
      </c>
      <c r="AN86">
        <v>11.94</v>
      </c>
      <c r="AO86">
        <v>25.43</v>
      </c>
      <c r="AP86">
        <v>0</v>
      </c>
      <c r="AQ86">
        <v>2.72</v>
      </c>
      <c r="AR86">
        <v>1.82</v>
      </c>
      <c r="AS86">
        <v>0</v>
      </c>
      <c r="AT86">
        <v>97</v>
      </c>
      <c r="AU86">
        <v>51</v>
      </c>
      <c r="AV86">
        <v>1</v>
      </c>
      <c r="AW86">
        <v>1</v>
      </c>
      <c r="AZ86">
        <v>1</v>
      </c>
      <c r="BA86">
        <v>28.93</v>
      </c>
      <c r="BB86">
        <v>1</v>
      </c>
      <c r="BC86">
        <v>1</v>
      </c>
      <c r="BD86" t="s">
        <v>3</v>
      </c>
      <c r="BE86" t="s">
        <v>3</v>
      </c>
      <c r="BF86" t="s">
        <v>3</v>
      </c>
      <c r="BG86" t="s">
        <v>3</v>
      </c>
      <c r="BH86">
        <v>0</v>
      </c>
      <c r="BI86">
        <v>2</v>
      </c>
      <c r="BJ86" t="s">
        <v>175</v>
      </c>
      <c r="BM86">
        <v>108001</v>
      </c>
      <c r="BN86">
        <v>0</v>
      </c>
      <c r="BO86" t="s">
        <v>3</v>
      </c>
      <c r="BP86">
        <v>0</v>
      </c>
      <c r="BQ86">
        <v>3</v>
      </c>
      <c r="BR86">
        <v>0</v>
      </c>
      <c r="BS86">
        <v>28.93</v>
      </c>
      <c r="BT86">
        <v>1</v>
      </c>
      <c r="BU86">
        <v>1</v>
      </c>
      <c r="BV86">
        <v>1</v>
      </c>
      <c r="BW86">
        <v>1</v>
      </c>
      <c r="BX86">
        <v>1</v>
      </c>
      <c r="BY86" t="s">
        <v>3</v>
      </c>
      <c r="BZ86">
        <v>97</v>
      </c>
      <c r="CA86">
        <v>51</v>
      </c>
      <c r="CB86" t="s">
        <v>3</v>
      </c>
      <c r="CE86">
        <v>0</v>
      </c>
      <c r="CF86">
        <v>0</v>
      </c>
      <c r="CG86">
        <v>0</v>
      </c>
      <c r="CM86">
        <v>0</v>
      </c>
      <c r="CN86" t="s">
        <v>3</v>
      </c>
      <c r="CO86">
        <v>0</v>
      </c>
      <c r="CP86">
        <f t="shared" si="89"/>
        <v>1251.83</v>
      </c>
      <c r="CQ86">
        <f t="shared" si="90"/>
        <v>0.51</v>
      </c>
      <c r="CR86">
        <f t="shared" si="91"/>
        <v>298.22000000000003</v>
      </c>
      <c r="CS86">
        <f t="shared" si="92"/>
        <v>16.48</v>
      </c>
      <c r="CT86">
        <f t="shared" si="93"/>
        <v>35.090000000000003</v>
      </c>
      <c r="CU86">
        <f t="shared" si="94"/>
        <v>0</v>
      </c>
      <c r="CV86">
        <f t="shared" si="95"/>
        <v>3.7536</v>
      </c>
      <c r="CW86">
        <f t="shared" si="96"/>
        <v>2.5116000000000001</v>
      </c>
      <c r="CX86">
        <f t="shared" si="97"/>
        <v>0</v>
      </c>
      <c r="CY86">
        <f t="shared" si="98"/>
        <v>187.58829999999998</v>
      </c>
      <c r="CZ86">
        <f t="shared" si="99"/>
        <v>98.628899999999987</v>
      </c>
      <c r="DC86" t="s">
        <v>3</v>
      </c>
      <c r="DD86" t="s">
        <v>3</v>
      </c>
      <c r="DE86" t="s">
        <v>20</v>
      </c>
      <c r="DF86" t="s">
        <v>20</v>
      </c>
      <c r="DG86" t="s">
        <v>20</v>
      </c>
      <c r="DH86" t="s">
        <v>3</v>
      </c>
      <c r="DI86" t="s">
        <v>20</v>
      </c>
      <c r="DJ86" t="s">
        <v>20</v>
      </c>
      <c r="DK86" t="s">
        <v>3</v>
      </c>
      <c r="DL86" t="s">
        <v>3</v>
      </c>
      <c r="DM86" t="s">
        <v>3</v>
      </c>
      <c r="DN86">
        <v>0</v>
      </c>
      <c r="DO86">
        <v>0</v>
      </c>
      <c r="DP86">
        <v>1</v>
      </c>
      <c r="DQ86">
        <v>1</v>
      </c>
      <c r="DU86">
        <v>1013</v>
      </c>
      <c r="DV86" t="s">
        <v>158</v>
      </c>
      <c r="DW86" t="s">
        <v>158</v>
      </c>
      <c r="DX86">
        <v>1</v>
      </c>
      <c r="DZ86" t="s">
        <v>3</v>
      </c>
      <c r="EA86" t="s">
        <v>3</v>
      </c>
      <c r="EB86" t="s">
        <v>3</v>
      </c>
      <c r="EC86" t="s">
        <v>3</v>
      </c>
      <c r="EE86">
        <v>41328166</v>
      </c>
      <c r="EF86">
        <v>3</v>
      </c>
      <c r="EG86" t="s">
        <v>154</v>
      </c>
      <c r="EH86">
        <v>0</v>
      </c>
      <c r="EI86" t="s">
        <v>3</v>
      </c>
      <c r="EJ86">
        <v>2</v>
      </c>
      <c r="EK86">
        <v>108001</v>
      </c>
      <c r="EL86" t="s">
        <v>160</v>
      </c>
      <c r="EM86" t="s">
        <v>161</v>
      </c>
      <c r="EO86" t="s">
        <v>3</v>
      </c>
      <c r="EQ86">
        <v>131072</v>
      </c>
      <c r="ER86">
        <v>242.04</v>
      </c>
      <c r="ES86">
        <v>0.51</v>
      </c>
      <c r="ET86">
        <v>216.1</v>
      </c>
      <c r="EU86">
        <v>11.94</v>
      </c>
      <c r="EV86">
        <v>25.43</v>
      </c>
      <c r="EW86">
        <v>2.72</v>
      </c>
      <c r="EX86">
        <v>1.82</v>
      </c>
      <c r="EY86">
        <v>0</v>
      </c>
      <c r="FQ86">
        <v>0</v>
      </c>
      <c r="FR86">
        <f t="shared" si="100"/>
        <v>0</v>
      </c>
      <c r="FS86">
        <v>0</v>
      </c>
      <c r="FX86">
        <v>97</v>
      </c>
      <c r="FY86">
        <v>51</v>
      </c>
      <c r="GA86" t="s">
        <v>3</v>
      </c>
      <c r="GD86">
        <v>1</v>
      </c>
      <c r="GF86">
        <v>1235416399</v>
      </c>
      <c r="GG86">
        <v>2</v>
      </c>
      <c r="GH86">
        <v>1</v>
      </c>
      <c r="GI86">
        <v>4</v>
      </c>
      <c r="GJ86">
        <v>0</v>
      </c>
      <c r="GK86">
        <v>0</v>
      </c>
      <c r="GL86">
        <f t="shared" si="101"/>
        <v>0</v>
      </c>
      <c r="GM86">
        <f t="shared" si="102"/>
        <v>1538.05</v>
      </c>
      <c r="GN86">
        <f t="shared" si="103"/>
        <v>0</v>
      </c>
      <c r="GO86">
        <f t="shared" si="104"/>
        <v>1538.05</v>
      </c>
      <c r="GP86">
        <f t="shared" si="105"/>
        <v>0</v>
      </c>
      <c r="GR86">
        <v>0</v>
      </c>
      <c r="GS86">
        <v>3</v>
      </c>
      <c r="GT86">
        <v>0</v>
      </c>
      <c r="GU86" t="s">
        <v>3</v>
      </c>
      <c r="GV86">
        <f t="shared" si="106"/>
        <v>0</v>
      </c>
      <c r="GW86">
        <v>1</v>
      </c>
      <c r="GX86">
        <f t="shared" si="107"/>
        <v>0</v>
      </c>
      <c r="HA86">
        <v>0</v>
      </c>
      <c r="HB86">
        <v>0</v>
      </c>
      <c r="HC86">
        <f t="shared" si="108"/>
        <v>0</v>
      </c>
      <c r="HE86" t="s">
        <v>3</v>
      </c>
      <c r="HF86" t="s">
        <v>3</v>
      </c>
      <c r="HI86">
        <f t="shared" si="109"/>
        <v>1787.87</v>
      </c>
      <c r="HJ86">
        <f t="shared" si="110"/>
        <v>3806.9</v>
      </c>
      <c r="HK86">
        <f t="shared" si="111"/>
        <v>5426.93</v>
      </c>
      <c r="HL86">
        <f t="shared" si="112"/>
        <v>2853.33</v>
      </c>
      <c r="HM86" t="s">
        <v>3</v>
      </c>
      <c r="HN86" t="s">
        <v>162</v>
      </c>
      <c r="HO86" t="s">
        <v>163</v>
      </c>
      <c r="HP86" t="s">
        <v>160</v>
      </c>
      <c r="HQ86" t="s">
        <v>160</v>
      </c>
      <c r="IK86">
        <v>0</v>
      </c>
    </row>
    <row r="87" spans="1:245">
      <c r="A87">
        <v>17</v>
      </c>
      <c r="B87">
        <v>1</v>
      </c>
      <c r="C87">
        <f>ROW(SmtRes!A61)</f>
        <v>61</v>
      </c>
      <c r="D87">
        <f>ROW(EtalonRes!A61)</f>
        <v>61</v>
      </c>
      <c r="E87" t="s">
        <v>176</v>
      </c>
      <c r="F87" t="s">
        <v>177</v>
      </c>
      <c r="G87" t="s">
        <v>178</v>
      </c>
      <c r="H87" t="s">
        <v>158</v>
      </c>
      <c r="I87">
        <f>ROUND(810/100,7)</f>
        <v>8.1</v>
      </c>
      <c r="J87">
        <v>0</v>
      </c>
      <c r="K87">
        <f>ROUND(810/100,7)</f>
        <v>8.1</v>
      </c>
      <c r="O87">
        <f t="shared" si="72"/>
        <v>6755.15</v>
      </c>
      <c r="P87">
        <f t="shared" si="73"/>
        <v>792.26</v>
      </c>
      <c r="Q87">
        <f t="shared" si="74"/>
        <v>4140.2299999999996</v>
      </c>
      <c r="R87">
        <f t="shared" si="75"/>
        <v>193.59</v>
      </c>
      <c r="S87">
        <f t="shared" si="76"/>
        <v>1822.66</v>
      </c>
      <c r="T87">
        <f t="shared" si="77"/>
        <v>0</v>
      </c>
      <c r="U87">
        <f t="shared" si="78"/>
        <v>194.94431999999998</v>
      </c>
      <c r="V87">
        <f t="shared" si="79"/>
        <v>29.509919999999997</v>
      </c>
      <c r="W87">
        <f t="shared" si="80"/>
        <v>0</v>
      </c>
      <c r="X87">
        <f t="shared" si="81"/>
        <v>1955.76</v>
      </c>
      <c r="Y87">
        <f t="shared" si="82"/>
        <v>1028.29</v>
      </c>
      <c r="AA87">
        <v>47920234</v>
      </c>
      <c r="AB87">
        <f t="shared" si="83"/>
        <v>833.97</v>
      </c>
      <c r="AC87">
        <f t="shared" si="84"/>
        <v>97.81</v>
      </c>
      <c r="AD87">
        <f>ROUND(((((ET87*ROUND((1.15*1.2),7)))-((EU87*ROUND((1.15*1.2),7))))+AE87),2)</f>
        <v>511.14</v>
      </c>
      <c r="AE87">
        <f>ROUND(((EU87*ROUND((1.15*1.2),7))),2)</f>
        <v>23.9</v>
      </c>
      <c r="AF87">
        <f>ROUND(((EV87*ROUND((1.15*1.2),7))),2)</f>
        <v>225.02</v>
      </c>
      <c r="AG87">
        <f t="shared" si="86"/>
        <v>0</v>
      </c>
      <c r="AH87">
        <f>((EW87*ROUND((1.15*1.2),7)))</f>
        <v>24.0672</v>
      </c>
      <c r="AI87">
        <f>((EX87*ROUND((1.15*1.2),7)))</f>
        <v>3.6431999999999998</v>
      </c>
      <c r="AJ87">
        <f t="shared" si="88"/>
        <v>0</v>
      </c>
      <c r="AK87">
        <v>631.26</v>
      </c>
      <c r="AL87">
        <v>97.81</v>
      </c>
      <c r="AM87">
        <v>370.39</v>
      </c>
      <c r="AN87">
        <v>17.32</v>
      </c>
      <c r="AO87">
        <v>163.06</v>
      </c>
      <c r="AP87">
        <v>0</v>
      </c>
      <c r="AQ87">
        <v>17.440000000000001</v>
      </c>
      <c r="AR87">
        <v>2.64</v>
      </c>
      <c r="AS87">
        <v>0</v>
      </c>
      <c r="AT87">
        <v>97</v>
      </c>
      <c r="AU87">
        <v>51</v>
      </c>
      <c r="AV87">
        <v>1</v>
      </c>
      <c r="AW87">
        <v>1</v>
      </c>
      <c r="AZ87">
        <v>1</v>
      </c>
      <c r="BA87">
        <v>28.93</v>
      </c>
      <c r="BB87">
        <v>1</v>
      </c>
      <c r="BC87">
        <v>1</v>
      </c>
      <c r="BD87" t="s">
        <v>3</v>
      </c>
      <c r="BE87" t="s">
        <v>3</v>
      </c>
      <c r="BF87" t="s">
        <v>3</v>
      </c>
      <c r="BG87" t="s">
        <v>3</v>
      </c>
      <c r="BH87">
        <v>0</v>
      </c>
      <c r="BI87">
        <v>2</v>
      </c>
      <c r="BJ87" t="s">
        <v>179</v>
      </c>
      <c r="BM87">
        <v>108001</v>
      </c>
      <c r="BN87">
        <v>0</v>
      </c>
      <c r="BO87" t="s">
        <v>3</v>
      </c>
      <c r="BP87">
        <v>0</v>
      </c>
      <c r="BQ87">
        <v>3</v>
      </c>
      <c r="BR87">
        <v>0</v>
      </c>
      <c r="BS87">
        <v>28.93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3</v>
      </c>
      <c r="BZ87">
        <v>97</v>
      </c>
      <c r="CA87">
        <v>51</v>
      </c>
      <c r="CB87" t="s">
        <v>3</v>
      </c>
      <c r="CE87">
        <v>0</v>
      </c>
      <c r="CF87">
        <v>0</v>
      </c>
      <c r="CG87">
        <v>0</v>
      </c>
      <c r="CM87">
        <v>0</v>
      </c>
      <c r="CN87" t="s">
        <v>3</v>
      </c>
      <c r="CO87">
        <v>0</v>
      </c>
      <c r="CP87">
        <f t="shared" si="89"/>
        <v>6755.15</v>
      </c>
      <c r="CQ87">
        <f t="shared" si="90"/>
        <v>97.81</v>
      </c>
      <c r="CR87">
        <f t="shared" si="91"/>
        <v>511.14</v>
      </c>
      <c r="CS87">
        <f t="shared" si="92"/>
        <v>23.9</v>
      </c>
      <c r="CT87">
        <f t="shared" si="93"/>
        <v>225.02</v>
      </c>
      <c r="CU87">
        <f t="shared" si="94"/>
        <v>0</v>
      </c>
      <c r="CV87">
        <f t="shared" si="95"/>
        <v>24.0672</v>
      </c>
      <c r="CW87">
        <f t="shared" si="96"/>
        <v>3.6431999999999998</v>
      </c>
      <c r="CX87">
        <f t="shared" si="97"/>
        <v>0</v>
      </c>
      <c r="CY87">
        <f t="shared" si="98"/>
        <v>1955.7625</v>
      </c>
      <c r="CZ87">
        <f t="shared" si="99"/>
        <v>1028.2874999999999</v>
      </c>
      <c r="DC87" t="s">
        <v>3</v>
      </c>
      <c r="DD87" t="s">
        <v>3</v>
      </c>
      <c r="DE87" t="s">
        <v>66</v>
      </c>
      <c r="DF87" t="s">
        <v>66</v>
      </c>
      <c r="DG87" t="s">
        <v>66</v>
      </c>
      <c r="DH87" t="s">
        <v>3</v>
      </c>
      <c r="DI87" t="s">
        <v>66</v>
      </c>
      <c r="DJ87" t="s">
        <v>66</v>
      </c>
      <c r="DK87" t="s">
        <v>3</v>
      </c>
      <c r="DL87" t="s">
        <v>3</v>
      </c>
      <c r="DM87" t="s">
        <v>3</v>
      </c>
      <c r="DN87">
        <v>0</v>
      </c>
      <c r="DO87">
        <v>0</v>
      </c>
      <c r="DP87">
        <v>1</v>
      </c>
      <c r="DQ87">
        <v>1</v>
      </c>
      <c r="DU87">
        <v>1013</v>
      </c>
      <c r="DV87" t="s">
        <v>158</v>
      </c>
      <c r="DW87" t="s">
        <v>158</v>
      </c>
      <c r="DX87">
        <v>1</v>
      </c>
      <c r="DZ87" t="s">
        <v>3</v>
      </c>
      <c r="EA87" t="s">
        <v>3</v>
      </c>
      <c r="EB87" t="s">
        <v>3</v>
      </c>
      <c r="EC87" t="s">
        <v>3</v>
      </c>
      <c r="EE87">
        <v>41328166</v>
      </c>
      <c r="EF87">
        <v>3</v>
      </c>
      <c r="EG87" t="s">
        <v>154</v>
      </c>
      <c r="EH87">
        <v>0</v>
      </c>
      <c r="EI87" t="s">
        <v>3</v>
      </c>
      <c r="EJ87">
        <v>2</v>
      </c>
      <c r="EK87">
        <v>108001</v>
      </c>
      <c r="EL87" t="s">
        <v>160</v>
      </c>
      <c r="EM87" t="s">
        <v>161</v>
      </c>
      <c r="EO87" t="s">
        <v>3</v>
      </c>
      <c r="EQ87">
        <v>131072</v>
      </c>
      <c r="ER87">
        <v>631.26</v>
      </c>
      <c r="ES87">
        <v>97.81</v>
      </c>
      <c r="ET87">
        <v>370.39</v>
      </c>
      <c r="EU87">
        <v>17.32</v>
      </c>
      <c r="EV87">
        <v>163.06</v>
      </c>
      <c r="EW87">
        <v>17.440000000000001</v>
      </c>
      <c r="EX87">
        <v>2.64</v>
      </c>
      <c r="EY87">
        <v>0</v>
      </c>
      <c r="FQ87">
        <v>0</v>
      </c>
      <c r="FR87">
        <f t="shared" si="100"/>
        <v>0</v>
      </c>
      <c r="FS87">
        <v>0</v>
      </c>
      <c r="FX87">
        <v>97</v>
      </c>
      <c r="FY87">
        <v>51</v>
      </c>
      <c r="GA87" t="s">
        <v>3</v>
      </c>
      <c r="GD87">
        <v>1</v>
      </c>
      <c r="GF87">
        <v>1879139009</v>
      </c>
      <c r="GG87">
        <v>2</v>
      </c>
      <c r="GH87">
        <v>1</v>
      </c>
      <c r="GI87">
        <v>4</v>
      </c>
      <c r="GJ87">
        <v>0</v>
      </c>
      <c r="GK87">
        <v>0</v>
      </c>
      <c r="GL87">
        <f t="shared" si="101"/>
        <v>0</v>
      </c>
      <c r="GM87">
        <f t="shared" si="102"/>
        <v>9739.2000000000007</v>
      </c>
      <c r="GN87">
        <f t="shared" si="103"/>
        <v>0</v>
      </c>
      <c r="GO87">
        <f t="shared" si="104"/>
        <v>9739.2000000000007</v>
      </c>
      <c r="GP87">
        <f t="shared" si="105"/>
        <v>0</v>
      </c>
      <c r="GR87">
        <v>0</v>
      </c>
      <c r="GS87">
        <v>3</v>
      </c>
      <c r="GT87">
        <v>0</v>
      </c>
      <c r="GU87" t="s">
        <v>3</v>
      </c>
      <c r="GV87">
        <f t="shared" si="106"/>
        <v>0</v>
      </c>
      <c r="GW87">
        <v>1</v>
      </c>
      <c r="GX87">
        <f t="shared" si="107"/>
        <v>0</v>
      </c>
      <c r="HA87">
        <v>0</v>
      </c>
      <c r="HB87">
        <v>0</v>
      </c>
      <c r="HC87">
        <f t="shared" si="108"/>
        <v>0</v>
      </c>
      <c r="HE87" t="s">
        <v>3</v>
      </c>
      <c r="HF87" t="s">
        <v>3</v>
      </c>
      <c r="HI87">
        <f t="shared" si="109"/>
        <v>5600.56</v>
      </c>
      <c r="HJ87">
        <f t="shared" si="110"/>
        <v>52729.55</v>
      </c>
      <c r="HK87">
        <f t="shared" si="111"/>
        <v>56580.21</v>
      </c>
      <c r="HL87">
        <f t="shared" si="112"/>
        <v>29748.36</v>
      </c>
      <c r="HM87" t="s">
        <v>3</v>
      </c>
      <c r="HN87" t="s">
        <v>162</v>
      </c>
      <c r="HO87" t="s">
        <v>163</v>
      </c>
      <c r="HP87" t="s">
        <v>160</v>
      </c>
      <c r="HQ87" t="s">
        <v>160</v>
      </c>
      <c r="IK87">
        <v>0</v>
      </c>
    </row>
    <row r="88" spans="1:245">
      <c r="A88">
        <v>17</v>
      </c>
      <c r="B88">
        <v>1</v>
      </c>
      <c r="C88">
        <f>ROW(SmtRes!A71)</f>
        <v>71</v>
      </c>
      <c r="D88">
        <f>ROW(EtalonRes!A71)</f>
        <v>71</v>
      </c>
      <c r="E88" t="s">
        <v>180</v>
      </c>
      <c r="F88" t="s">
        <v>181</v>
      </c>
      <c r="G88" t="s">
        <v>182</v>
      </c>
      <c r="H88" t="s">
        <v>158</v>
      </c>
      <c r="I88">
        <f>ROUND(121/100,7)</f>
        <v>1.21</v>
      </c>
      <c r="J88">
        <v>0</v>
      </c>
      <c r="K88">
        <f>ROUND(121/100,7)</f>
        <v>1.21</v>
      </c>
      <c r="O88">
        <f t="shared" si="72"/>
        <v>609.1</v>
      </c>
      <c r="P88">
        <f t="shared" si="73"/>
        <v>47.01</v>
      </c>
      <c r="Q88">
        <f t="shared" si="74"/>
        <v>202.38</v>
      </c>
      <c r="R88">
        <f t="shared" si="75"/>
        <v>4.38</v>
      </c>
      <c r="S88">
        <f t="shared" si="76"/>
        <v>359.71</v>
      </c>
      <c r="T88">
        <f t="shared" si="77"/>
        <v>0</v>
      </c>
      <c r="U88">
        <f t="shared" si="78"/>
        <v>38.472191999999993</v>
      </c>
      <c r="V88">
        <f t="shared" si="79"/>
        <v>0.66791999999999985</v>
      </c>
      <c r="W88">
        <f t="shared" si="80"/>
        <v>0</v>
      </c>
      <c r="X88">
        <f t="shared" si="81"/>
        <v>353.17</v>
      </c>
      <c r="Y88">
        <f t="shared" si="82"/>
        <v>185.69</v>
      </c>
      <c r="AA88">
        <v>47920234</v>
      </c>
      <c r="AB88">
        <f t="shared" si="83"/>
        <v>503.39</v>
      </c>
      <c r="AC88">
        <f t="shared" si="84"/>
        <v>38.85</v>
      </c>
      <c r="AD88">
        <f>ROUND(((((ET88*ROUND((1.2*1.15),7)))-((EU88*ROUND((1.2*1.15),7))))+AE88),2)</f>
        <v>167.26</v>
      </c>
      <c r="AE88">
        <f>ROUND(((EU88*ROUND((1.2*1.15),7))),2)</f>
        <v>3.62</v>
      </c>
      <c r="AF88">
        <f>ROUND(((EV88*ROUND((1.2*1.15),7))),2)</f>
        <v>297.27999999999997</v>
      </c>
      <c r="AG88">
        <f t="shared" si="86"/>
        <v>0</v>
      </c>
      <c r="AH88">
        <f>((EW88*ROUND((1.2*1.15),7)))</f>
        <v>31.795199999999998</v>
      </c>
      <c r="AI88">
        <f>((EX88*ROUND((1.2*1.15),7)))</f>
        <v>0.55199999999999994</v>
      </c>
      <c r="AJ88">
        <f t="shared" si="88"/>
        <v>0</v>
      </c>
      <c r="AK88">
        <v>375.47</v>
      </c>
      <c r="AL88">
        <v>38.85</v>
      </c>
      <c r="AM88">
        <v>121.2</v>
      </c>
      <c r="AN88">
        <v>2.62</v>
      </c>
      <c r="AO88">
        <v>215.42</v>
      </c>
      <c r="AP88">
        <v>0</v>
      </c>
      <c r="AQ88">
        <v>23.04</v>
      </c>
      <c r="AR88">
        <v>0.4</v>
      </c>
      <c r="AS88">
        <v>0</v>
      </c>
      <c r="AT88">
        <v>97</v>
      </c>
      <c r="AU88">
        <v>51</v>
      </c>
      <c r="AV88">
        <v>1</v>
      </c>
      <c r="AW88">
        <v>1</v>
      </c>
      <c r="AZ88">
        <v>1</v>
      </c>
      <c r="BA88">
        <v>28.93</v>
      </c>
      <c r="BB88">
        <v>1</v>
      </c>
      <c r="BC88">
        <v>1</v>
      </c>
      <c r="BD88" t="s">
        <v>3</v>
      </c>
      <c r="BE88" t="s">
        <v>3</v>
      </c>
      <c r="BF88" t="s">
        <v>3</v>
      </c>
      <c r="BG88" t="s">
        <v>3</v>
      </c>
      <c r="BH88">
        <v>0</v>
      </c>
      <c r="BI88">
        <v>2</v>
      </c>
      <c r="BJ88" t="s">
        <v>183</v>
      </c>
      <c r="BM88">
        <v>108001</v>
      </c>
      <c r="BN88">
        <v>0</v>
      </c>
      <c r="BO88" t="s">
        <v>3</v>
      </c>
      <c r="BP88">
        <v>0</v>
      </c>
      <c r="BQ88">
        <v>3</v>
      </c>
      <c r="BR88">
        <v>0</v>
      </c>
      <c r="BS88">
        <v>28.93</v>
      </c>
      <c r="BT88">
        <v>1</v>
      </c>
      <c r="BU88">
        <v>1</v>
      </c>
      <c r="BV88">
        <v>1</v>
      </c>
      <c r="BW88">
        <v>1</v>
      </c>
      <c r="BX88">
        <v>1</v>
      </c>
      <c r="BY88" t="s">
        <v>3</v>
      </c>
      <c r="BZ88">
        <v>97</v>
      </c>
      <c r="CA88">
        <v>51</v>
      </c>
      <c r="CB88" t="s">
        <v>3</v>
      </c>
      <c r="CE88">
        <v>0</v>
      </c>
      <c r="CF88">
        <v>0</v>
      </c>
      <c r="CG88">
        <v>0</v>
      </c>
      <c r="CM88">
        <v>0</v>
      </c>
      <c r="CN88" t="s">
        <v>3</v>
      </c>
      <c r="CO88">
        <v>0</v>
      </c>
      <c r="CP88">
        <f t="shared" si="89"/>
        <v>609.09999999999991</v>
      </c>
      <c r="CQ88">
        <f t="shared" si="90"/>
        <v>38.85</v>
      </c>
      <c r="CR88">
        <f t="shared" si="91"/>
        <v>167.26</v>
      </c>
      <c r="CS88">
        <f t="shared" si="92"/>
        <v>3.62</v>
      </c>
      <c r="CT88">
        <f t="shared" si="93"/>
        <v>297.27999999999997</v>
      </c>
      <c r="CU88">
        <f t="shared" si="94"/>
        <v>0</v>
      </c>
      <c r="CV88">
        <f t="shared" si="95"/>
        <v>31.795199999999998</v>
      </c>
      <c r="CW88">
        <f t="shared" si="96"/>
        <v>0.55199999999999994</v>
      </c>
      <c r="CX88">
        <f t="shared" si="97"/>
        <v>0</v>
      </c>
      <c r="CY88">
        <f t="shared" si="98"/>
        <v>353.16729999999995</v>
      </c>
      <c r="CZ88">
        <f t="shared" si="99"/>
        <v>185.6859</v>
      </c>
      <c r="DC88" t="s">
        <v>3</v>
      </c>
      <c r="DD88" t="s">
        <v>3</v>
      </c>
      <c r="DE88" t="s">
        <v>20</v>
      </c>
      <c r="DF88" t="s">
        <v>20</v>
      </c>
      <c r="DG88" t="s">
        <v>20</v>
      </c>
      <c r="DH88" t="s">
        <v>3</v>
      </c>
      <c r="DI88" t="s">
        <v>20</v>
      </c>
      <c r="DJ88" t="s">
        <v>20</v>
      </c>
      <c r="DK88" t="s">
        <v>3</v>
      </c>
      <c r="DL88" t="s">
        <v>3</v>
      </c>
      <c r="DM88" t="s">
        <v>3</v>
      </c>
      <c r="DN88">
        <v>0</v>
      </c>
      <c r="DO88">
        <v>0</v>
      </c>
      <c r="DP88">
        <v>1</v>
      </c>
      <c r="DQ88">
        <v>1</v>
      </c>
      <c r="DU88">
        <v>1013</v>
      </c>
      <c r="DV88" t="s">
        <v>158</v>
      </c>
      <c r="DW88" t="s">
        <v>158</v>
      </c>
      <c r="DX88">
        <v>1</v>
      </c>
      <c r="DZ88" t="s">
        <v>3</v>
      </c>
      <c r="EA88" t="s">
        <v>3</v>
      </c>
      <c r="EB88" t="s">
        <v>3</v>
      </c>
      <c r="EC88" t="s">
        <v>3</v>
      </c>
      <c r="EE88">
        <v>41328166</v>
      </c>
      <c r="EF88">
        <v>3</v>
      </c>
      <c r="EG88" t="s">
        <v>154</v>
      </c>
      <c r="EH88">
        <v>0</v>
      </c>
      <c r="EI88" t="s">
        <v>3</v>
      </c>
      <c r="EJ88">
        <v>2</v>
      </c>
      <c r="EK88">
        <v>108001</v>
      </c>
      <c r="EL88" t="s">
        <v>160</v>
      </c>
      <c r="EM88" t="s">
        <v>161</v>
      </c>
      <c r="EO88" t="s">
        <v>3</v>
      </c>
      <c r="EQ88">
        <v>131072</v>
      </c>
      <c r="ER88">
        <v>375.47</v>
      </c>
      <c r="ES88">
        <v>38.85</v>
      </c>
      <c r="ET88">
        <v>121.2</v>
      </c>
      <c r="EU88">
        <v>2.62</v>
      </c>
      <c r="EV88">
        <v>215.42</v>
      </c>
      <c r="EW88">
        <v>23.04</v>
      </c>
      <c r="EX88">
        <v>0.4</v>
      </c>
      <c r="EY88">
        <v>0</v>
      </c>
      <c r="FQ88">
        <v>0</v>
      </c>
      <c r="FR88">
        <f t="shared" si="100"/>
        <v>0</v>
      </c>
      <c r="FS88">
        <v>0</v>
      </c>
      <c r="FX88">
        <v>97</v>
      </c>
      <c r="FY88">
        <v>51</v>
      </c>
      <c r="GA88" t="s">
        <v>3</v>
      </c>
      <c r="GD88">
        <v>1</v>
      </c>
      <c r="GF88">
        <v>-277428003</v>
      </c>
      <c r="GG88">
        <v>2</v>
      </c>
      <c r="GH88">
        <v>1</v>
      </c>
      <c r="GI88">
        <v>4</v>
      </c>
      <c r="GJ88">
        <v>0</v>
      </c>
      <c r="GK88">
        <v>0</v>
      </c>
      <c r="GL88">
        <f t="shared" si="101"/>
        <v>0</v>
      </c>
      <c r="GM88">
        <f t="shared" si="102"/>
        <v>1147.96</v>
      </c>
      <c r="GN88">
        <f t="shared" si="103"/>
        <v>0</v>
      </c>
      <c r="GO88">
        <f t="shared" si="104"/>
        <v>1147.96</v>
      </c>
      <c r="GP88">
        <f t="shared" si="105"/>
        <v>0</v>
      </c>
      <c r="GR88">
        <v>0</v>
      </c>
      <c r="GS88">
        <v>3</v>
      </c>
      <c r="GT88">
        <v>0</v>
      </c>
      <c r="GU88" t="s">
        <v>3</v>
      </c>
      <c r="GV88">
        <f t="shared" si="106"/>
        <v>0</v>
      </c>
      <c r="GW88">
        <v>1</v>
      </c>
      <c r="GX88">
        <f t="shared" si="107"/>
        <v>0</v>
      </c>
      <c r="HA88">
        <v>0</v>
      </c>
      <c r="HB88">
        <v>0</v>
      </c>
      <c r="HC88">
        <f t="shared" si="108"/>
        <v>0</v>
      </c>
      <c r="HE88" t="s">
        <v>3</v>
      </c>
      <c r="HF88" t="s">
        <v>3</v>
      </c>
      <c r="HI88">
        <f t="shared" si="109"/>
        <v>126.71</v>
      </c>
      <c r="HJ88">
        <f t="shared" si="110"/>
        <v>10406.41</v>
      </c>
      <c r="HK88">
        <f t="shared" si="111"/>
        <v>10217.129999999999</v>
      </c>
      <c r="HL88">
        <f t="shared" si="112"/>
        <v>5371.89</v>
      </c>
      <c r="HM88" t="s">
        <v>3</v>
      </c>
      <c r="HN88" t="s">
        <v>162</v>
      </c>
      <c r="HO88" t="s">
        <v>163</v>
      </c>
      <c r="HP88" t="s">
        <v>160</v>
      </c>
      <c r="HQ88" t="s">
        <v>160</v>
      </c>
      <c r="IK88">
        <v>0</v>
      </c>
    </row>
    <row r="89" spans="1:245">
      <c r="A89">
        <v>17</v>
      </c>
      <c r="B89">
        <v>1</v>
      </c>
      <c r="C89">
        <f>ROW(SmtRes!A82)</f>
        <v>82</v>
      </c>
      <c r="D89">
        <f>ROW(EtalonRes!A82)</f>
        <v>82</v>
      </c>
      <c r="E89" t="s">
        <v>184</v>
      </c>
      <c r="F89" t="s">
        <v>185</v>
      </c>
      <c r="G89" t="s">
        <v>186</v>
      </c>
      <c r="H89" t="s">
        <v>158</v>
      </c>
      <c r="I89">
        <f>ROUND(3/100,7)</f>
        <v>0.03</v>
      </c>
      <c r="J89">
        <v>0</v>
      </c>
      <c r="K89">
        <f>ROUND(3/100,7)</f>
        <v>0.03</v>
      </c>
      <c r="O89">
        <f t="shared" si="72"/>
        <v>18.41</v>
      </c>
      <c r="P89">
        <f t="shared" si="73"/>
        <v>1.24</v>
      </c>
      <c r="Q89">
        <f t="shared" si="74"/>
        <v>5.93</v>
      </c>
      <c r="R89">
        <f t="shared" si="75"/>
        <v>0.11</v>
      </c>
      <c r="S89">
        <f t="shared" si="76"/>
        <v>11.24</v>
      </c>
      <c r="T89">
        <f t="shared" si="77"/>
        <v>0</v>
      </c>
      <c r="U89">
        <f t="shared" si="78"/>
        <v>1.20204</v>
      </c>
      <c r="V89">
        <f t="shared" si="79"/>
        <v>1.6199999999999999E-2</v>
      </c>
      <c r="W89">
        <f t="shared" si="80"/>
        <v>0</v>
      </c>
      <c r="X89">
        <f t="shared" si="81"/>
        <v>11.01</v>
      </c>
      <c r="Y89">
        <f t="shared" si="82"/>
        <v>5.79</v>
      </c>
      <c r="AA89">
        <v>47920234</v>
      </c>
      <c r="AB89">
        <f t="shared" si="83"/>
        <v>613.83000000000004</v>
      </c>
      <c r="AC89">
        <f t="shared" si="84"/>
        <v>41.49</v>
      </c>
      <c r="AD89">
        <f>ROUND(((((ET89*ROUND(1.35,7)))-((EU89*ROUND(1.35,7))))+AE89),2)</f>
        <v>197.7</v>
      </c>
      <c r="AE89">
        <f t="shared" ref="AE89:AF93" si="113">ROUND(((EU89*ROUND(1.35,7))),2)</f>
        <v>3.54</v>
      </c>
      <c r="AF89">
        <f t="shared" si="113"/>
        <v>374.64</v>
      </c>
      <c r="AG89">
        <f t="shared" si="86"/>
        <v>0</v>
      </c>
      <c r="AH89">
        <f t="shared" ref="AH89:AI93" si="114">((EW89*ROUND(1.35,7)))</f>
        <v>40.068000000000005</v>
      </c>
      <c r="AI89">
        <f t="shared" si="114"/>
        <v>0.54</v>
      </c>
      <c r="AJ89">
        <f t="shared" si="88"/>
        <v>0</v>
      </c>
      <c r="AK89">
        <v>465.44</v>
      </c>
      <c r="AL89">
        <v>41.49</v>
      </c>
      <c r="AM89">
        <v>146.44</v>
      </c>
      <c r="AN89">
        <v>2.62</v>
      </c>
      <c r="AO89">
        <v>277.51</v>
      </c>
      <c r="AP89">
        <v>0</v>
      </c>
      <c r="AQ89">
        <v>29.68</v>
      </c>
      <c r="AR89">
        <v>0.4</v>
      </c>
      <c r="AS89">
        <v>0</v>
      </c>
      <c r="AT89">
        <v>97</v>
      </c>
      <c r="AU89">
        <v>51</v>
      </c>
      <c r="AV89">
        <v>1</v>
      </c>
      <c r="AW89">
        <v>1</v>
      </c>
      <c r="AZ89">
        <v>1</v>
      </c>
      <c r="BA89">
        <v>28.93</v>
      </c>
      <c r="BB89">
        <v>1</v>
      </c>
      <c r="BC89">
        <v>1</v>
      </c>
      <c r="BD89" t="s">
        <v>3</v>
      </c>
      <c r="BE89" t="s">
        <v>3</v>
      </c>
      <c r="BF89" t="s">
        <v>3</v>
      </c>
      <c r="BG89" t="s">
        <v>3</v>
      </c>
      <c r="BH89">
        <v>0</v>
      </c>
      <c r="BI89">
        <v>2</v>
      </c>
      <c r="BJ89" t="s">
        <v>187</v>
      </c>
      <c r="BM89">
        <v>108001</v>
      </c>
      <c r="BN89">
        <v>0</v>
      </c>
      <c r="BO89" t="s">
        <v>3</v>
      </c>
      <c r="BP89">
        <v>0</v>
      </c>
      <c r="BQ89">
        <v>3</v>
      </c>
      <c r="BR89">
        <v>0</v>
      </c>
      <c r="BS89">
        <v>28.93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3</v>
      </c>
      <c r="BZ89">
        <v>97</v>
      </c>
      <c r="CA89">
        <v>51</v>
      </c>
      <c r="CB89" t="s">
        <v>3</v>
      </c>
      <c r="CE89">
        <v>0</v>
      </c>
      <c r="CF89">
        <v>0</v>
      </c>
      <c r="CG89">
        <v>0</v>
      </c>
      <c r="CM89">
        <v>0</v>
      </c>
      <c r="CN89" t="s">
        <v>3</v>
      </c>
      <c r="CO89">
        <v>0</v>
      </c>
      <c r="CP89">
        <f t="shared" si="89"/>
        <v>18.41</v>
      </c>
      <c r="CQ89">
        <f t="shared" si="90"/>
        <v>41.49</v>
      </c>
      <c r="CR89">
        <f t="shared" si="91"/>
        <v>197.7</v>
      </c>
      <c r="CS89">
        <f t="shared" si="92"/>
        <v>3.54</v>
      </c>
      <c r="CT89">
        <f t="shared" si="93"/>
        <v>374.64</v>
      </c>
      <c r="CU89">
        <f t="shared" si="94"/>
        <v>0</v>
      </c>
      <c r="CV89">
        <f t="shared" si="95"/>
        <v>40.068000000000005</v>
      </c>
      <c r="CW89">
        <f t="shared" si="96"/>
        <v>0.54</v>
      </c>
      <c r="CX89">
        <f t="shared" si="97"/>
        <v>0</v>
      </c>
      <c r="CY89">
        <f t="shared" si="98"/>
        <v>11.009500000000001</v>
      </c>
      <c r="CZ89">
        <f t="shared" si="99"/>
        <v>5.7885</v>
      </c>
      <c r="DC89" t="s">
        <v>3</v>
      </c>
      <c r="DD89" t="s">
        <v>3</v>
      </c>
      <c r="DE89" t="s">
        <v>188</v>
      </c>
      <c r="DF89" t="s">
        <v>188</v>
      </c>
      <c r="DG89" t="s">
        <v>188</v>
      </c>
      <c r="DH89" t="s">
        <v>3</v>
      </c>
      <c r="DI89" t="s">
        <v>188</v>
      </c>
      <c r="DJ89" t="s">
        <v>188</v>
      </c>
      <c r="DK89" t="s">
        <v>3</v>
      </c>
      <c r="DL89" t="s">
        <v>3</v>
      </c>
      <c r="DM89" t="s">
        <v>3</v>
      </c>
      <c r="DN89">
        <v>0</v>
      </c>
      <c r="DO89">
        <v>0</v>
      </c>
      <c r="DP89">
        <v>1</v>
      </c>
      <c r="DQ89">
        <v>1</v>
      </c>
      <c r="DU89">
        <v>1013</v>
      </c>
      <c r="DV89" t="s">
        <v>158</v>
      </c>
      <c r="DW89" t="s">
        <v>158</v>
      </c>
      <c r="DX89">
        <v>1</v>
      </c>
      <c r="DZ89" t="s">
        <v>3</v>
      </c>
      <c r="EA89" t="s">
        <v>3</v>
      </c>
      <c r="EB89" t="s">
        <v>3</v>
      </c>
      <c r="EC89" t="s">
        <v>3</v>
      </c>
      <c r="EE89">
        <v>41328166</v>
      </c>
      <c r="EF89">
        <v>3</v>
      </c>
      <c r="EG89" t="s">
        <v>154</v>
      </c>
      <c r="EH89">
        <v>0</v>
      </c>
      <c r="EI89" t="s">
        <v>3</v>
      </c>
      <c r="EJ89">
        <v>2</v>
      </c>
      <c r="EK89">
        <v>108001</v>
      </c>
      <c r="EL89" t="s">
        <v>160</v>
      </c>
      <c r="EM89" t="s">
        <v>161</v>
      </c>
      <c r="EO89" t="s">
        <v>3</v>
      </c>
      <c r="EQ89">
        <v>131072</v>
      </c>
      <c r="ER89">
        <v>465.44</v>
      </c>
      <c r="ES89">
        <v>41.49</v>
      </c>
      <c r="ET89">
        <v>146.44</v>
      </c>
      <c r="EU89">
        <v>2.62</v>
      </c>
      <c r="EV89">
        <v>277.51</v>
      </c>
      <c r="EW89">
        <v>29.68</v>
      </c>
      <c r="EX89">
        <v>0.4</v>
      </c>
      <c r="EY89">
        <v>0</v>
      </c>
      <c r="FQ89">
        <v>0</v>
      </c>
      <c r="FR89">
        <f t="shared" si="100"/>
        <v>0</v>
      </c>
      <c r="FS89">
        <v>0</v>
      </c>
      <c r="FX89">
        <v>97</v>
      </c>
      <c r="FY89">
        <v>51</v>
      </c>
      <c r="GA89" t="s">
        <v>3</v>
      </c>
      <c r="GD89">
        <v>1</v>
      </c>
      <c r="GF89">
        <v>215024051</v>
      </c>
      <c r="GG89">
        <v>2</v>
      </c>
      <c r="GH89">
        <v>1</v>
      </c>
      <c r="GI89">
        <v>4</v>
      </c>
      <c r="GJ89">
        <v>0</v>
      </c>
      <c r="GK89">
        <v>0</v>
      </c>
      <c r="GL89">
        <f t="shared" si="101"/>
        <v>0</v>
      </c>
      <c r="GM89">
        <f t="shared" si="102"/>
        <v>35.21</v>
      </c>
      <c r="GN89">
        <f t="shared" si="103"/>
        <v>0</v>
      </c>
      <c r="GO89">
        <f t="shared" si="104"/>
        <v>35.21</v>
      </c>
      <c r="GP89">
        <f t="shared" si="105"/>
        <v>0</v>
      </c>
      <c r="GR89">
        <v>0</v>
      </c>
      <c r="GS89">
        <v>3</v>
      </c>
      <c r="GT89">
        <v>0</v>
      </c>
      <c r="GU89" t="s">
        <v>3</v>
      </c>
      <c r="GV89">
        <f t="shared" si="106"/>
        <v>0</v>
      </c>
      <c r="GW89">
        <v>1</v>
      </c>
      <c r="GX89">
        <f t="shared" si="107"/>
        <v>0</v>
      </c>
      <c r="HA89">
        <v>0</v>
      </c>
      <c r="HB89">
        <v>0</v>
      </c>
      <c r="HC89">
        <f t="shared" si="108"/>
        <v>0</v>
      </c>
      <c r="HE89" t="s">
        <v>3</v>
      </c>
      <c r="HF89" t="s">
        <v>3</v>
      </c>
      <c r="HI89">
        <f t="shared" si="109"/>
        <v>3.18</v>
      </c>
      <c r="HJ89">
        <f t="shared" si="110"/>
        <v>325.17</v>
      </c>
      <c r="HK89">
        <f t="shared" si="111"/>
        <v>318.5</v>
      </c>
      <c r="HL89">
        <f t="shared" si="112"/>
        <v>167.46</v>
      </c>
      <c r="HM89" t="s">
        <v>3</v>
      </c>
      <c r="HN89" t="s">
        <v>162</v>
      </c>
      <c r="HO89" t="s">
        <v>163</v>
      </c>
      <c r="HP89" t="s">
        <v>160</v>
      </c>
      <c r="HQ89" t="s">
        <v>160</v>
      </c>
      <c r="IK89">
        <v>0</v>
      </c>
    </row>
    <row r="90" spans="1:245">
      <c r="A90">
        <v>17</v>
      </c>
      <c r="B90">
        <v>1</v>
      </c>
      <c r="C90">
        <f>ROW(SmtRes!A92)</f>
        <v>92</v>
      </c>
      <c r="D90">
        <f>ROW(EtalonRes!A92)</f>
        <v>92</v>
      </c>
      <c r="E90" t="s">
        <v>189</v>
      </c>
      <c r="F90" t="s">
        <v>190</v>
      </c>
      <c r="G90" t="s">
        <v>191</v>
      </c>
      <c r="H90" t="s">
        <v>158</v>
      </c>
      <c r="I90">
        <f>ROUND(6/100,7)</f>
        <v>0.06</v>
      </c>
      <c r="J90">
        <v>0</v>
      </c>
      <c r="K90">
        <f>ROUND(6/100,7)</f>
        <v>0.06</v>
      </c>
      <c r="O90">
        <f t="shared" si="72"/>
        <v>16.989999999999998</v>
      </c>
      <c r="P90">
        <f t="shared" si="73"/>
        <v>2.79</v>
      </c>
      <c r="Q90">
        <f t="shared" si="74"/>
        <v>6.44</v>
      </c>
      <c r="R90">
        <f t="shared" si="75"/>
        <v>0.21</v>
      </c>
      <c r="S90">
        <f t="shared" si="76"/>
        <v>7.76</v>
      </c>
      <c r="T90">
        <f t="shared" si="77"/>
        <v>0</v>
      </c>
      <c r="U90">
        <f t="shared" si="78"/>
        <v>0.82944000000000007</v>
      </c>
      <c r="V90">
        <f t="shared" si="79"/>
        <v>3.2399999999999998E-2</v>
      </c>
      <c r="W90">
        <f t="shared" si="80"/>
        <v>0</v>
      </c>
      <c r="X90">
        <f t="shared" si="81"/>
        <v>7.73</v>
      </c>
      <c r="Y90">
        <f t="shared" si="82"/>
        <v>4.0599999999999996</v>
      </c>
      <c r="AA90">
        <v>47920234</v>
      </c>
      <c r="AB90">
        <f t="shared" si="83"/>
        <v>282.95999999999998</v>
      </c>
      <c r="AC90">
        <f t="shared" si="84"/>
        <v>46.42</v>
      </c>
      <c r="AD90">
        <f>ROUND(((((ET90*ROUND(1.35,7)))-((EU90*ROUND(1.35,7))))+AE90),2)</f>
        <v>107.29</v>
      </c>
      <c r="AE90">
        <f t="shared" si="113"/>
        <v>3.54</v>
      </c>
      <c r="AF90">
        <f t="shared" si="113"/>
        <v>129.25</v>
      </c>
      <c r="AG90">
        <f t="shared" si="86"/>
        <v>0</v>
      </c>
      <c r="AH90">
        <f t="shared" si="114"/>
        <v>13.824000000000002</v>
      </c>
      <c r="AI90">
        <f t="shared" si="114"/>
        <v>0.54</v>
      </c>
      <c r="AJ90">
        <f t="shared" si="88"/>
        <v>0</v>
      </c>
      <c r="AK90">
        <v>221.63</v>
      </c>
      <c r="AL90">
        <v>46.42</v>
      </c>
      <c r="AM90">
        <v>79.47</v>
      </c>
      <c r="AN90">
        <v>2.62</v>
      </c>
      <c r="AO90">
        <v>95.74</v>
      </c>
      <c r="AP90">
        <v>0</v>
      </c>
      <c r="AQ90">
        <v>10.24</v>
      </c>
      <c r="AR90">
        <v>0.4</v>
      </c>
      <c r="AS90">
        <v>0</v>
      </c>
      <c r="AT90">
        <v>97</v>
      </c>
      <c r="AU90">
        <v>51</v>
      </c>
      <c r="AV90">
        <v>1</v>
      </c>
      <c r="AW90">
        <v>1</v>
      </c>
      <c r="AZ90">
        <v>1</v>
      </c>
      <c r="BA90">
        <v>28.93</v>
      </c>
      <c r="BB90">
        <v>1</v>
      </c>
      <c r="BC90">
        <v>1</v>
      </c>
      <c r="BD90" t="s">
        <v>3</v>
      </c>
      <c r="BE90" t="s">
        <v>3</v>
      </c>
      <c r="BF90" t="s">
        <v>3</v>
      </c>
      <c r="BG90" t="s">
        <v>3</v>
      </c>
      <c r="BH90">
        <v>0</v>
      </c>
      <c r="BI90">
        <v>2</v>
      </c>
      <c r="BJ90" t="s">
        <v>192</v>
      </c>
      <c r="BM90">
        <v>108001</v>
      </c>
      <c r="BN90">
        <v>0</v>
      </c>
      <c r="BO90" t="s">
        <v>3</v>
      </c>
      <c r="BP90">
        <v>0</v>
      </c>
      <c r="BQ90">
        <v>3</v>
      </c>
      <c r="BR90">
        <v>0</v>
      </c>
      <c r="BS90">
        <v>28.93</v>
      </c>
      <c r="BT90">
        <v>1</v>
      </c>
      <c r="BU90">
        <v>1</v>
      </c>
      <c r="BV90">
        <v>1</v>
      </c>
      <c r="BW90">
        <v>1</v>
      </c>
      <c r="BX90">
        <v>1</v>
      </c>
      <c r="BY90" t="s">
        <v>3</v>
      </c>
      <c r="BZ90">
        <v>97</v>
      </c>
      <c r="CA90">
        <v>51</v>
      </c>
      <c r="CB90" t="s">
        <v>3</v>
      </c>
      <c r="CE90">
        <v>0</v>
      </c>
      <c r="CF90">
        <v>0</v>
      </c>
      <c r="CG90">
        <v>0</v>
      </c>
      <c r="CM90">
        <v>0</v>
      </c>
      <c r="CN90" t="s">
        <v>3</v>
      </c>
      <c r="CO90">
        <v>0</v>
      </c>
      <c r="CP90">
        <f t="shared" si="89"/>
        <v>16.990000000000002</v>
      </c>
      <c r="CQ90">
        <f t="shared" si="90"/>
        <v>46.42</v>
      </c>
      <c r="CR90">
        <f t="shared" si="91"/>
        <v>107.29</v>
      </c>
      <c r="CS90">
        <f t="shared" si="92"/>
        <v>3.54</v>
      </c>
      <c r="CT90">
        <f t="shared" si="93"/>
        <v>129.25</v>
      </c>
      <c r="CU90">
        <f t="shared" si="94"/>
        <v>0</v>
      </c>
      <c r="CV90">
        <f t="shared" si="95"/>
        <v>13.824000000000002</v>
      </c>
      <c r="CW90">
        <f t="shared" si="96"/>
        <v>0.54</v>
      </c>
      <c r="CX90">
        <f t="shared" si="97"/>
        <v>0</v>
      </c>
      <c r="CY90">
        <f t="shared" si="98"/>
        <v>7.7309000000000001</v>
      </c>
      <c r="CZ90">
        <f t="shared" si="99"/>
        <v>4.0646999999999993</v>
      </c>
      <c r="DC90" t="s">
        <v>3</v>
      </c>
      <c r="DD90" t="s">
        <v>3</v>
      </c>
      <c r="DE90" t="s">
        <v>188</v>
      </c>
      <c r="DF90" t="s">
        <v>188</v>
      </c>
      <c r="DG90" t="s">
        <v>188</v>
      </c>
      <c r="DH90" t="s">
        <v>3</v>
      </c>
      <c r="DI90" t="s">
        <v>188</v>
      </c>
      <c r="DJ90" t="s">
        <v>188</v>
      </c>
      <c r="DK90" t="s">
        <v>3</v>
      </c>
      <c r="DL90" t="s">
        <v>3</v>
      </c>
      <c r="DM90" t="s">
        <v>3</v>
      </c>
      <c r="DN90">
        <v>0</v>
      </c>
      <c r="DO90">
        <v>0</v>
      </c>
      <c r="DP90">
        <v>1</v>
      </c>
      <c r="DQ90">
        <v>1</v>
      </c>
      <c r="DU90">
        <v>1013</v>
      </c>
      <c r="DV90" t="s">
        <v>158</v>
      </c>
      <c r="DW90" t="s">
        <v>158</v>
      </c>
      <c r="DX90">
        <v>1</v>
      </c>
      <c r="DZ90" t="s">
        <v>3</v>
      </c>
      <c r="EA90" t="s">
        <v>3</v>
      </c>
      <c r="EB90" t="s">
        <v>3</v>
      </c>
      <c r="EC90" t="s">
        <v>3</v>
      </c>
      <c r="EE90">
        <v>41328166</v>
      </c>
      <c r="EF90">
        <v>3</v>
      </c>
      <c r="EG90" t="s">
        <v>154</v>
      </c>
      <c r="EH90">
        <v>0</v>
      </c>
      <c r="EI90" t="s">
        <v>3</v>
      </c>
      <c r="EJ90">
        <v>2</v>
      </c>
      <c r="EK90">
        <v>108001</v>
      </c>
      <c r="EL90" t="s">
        <v>160</v>
      </c>
      <c r="EM90" t="s">
        <v>161</v>
      </c>
      <c r="EO90" t="s">
        <v>3</v>
      </c>
      <c r="EQ90">
        <v>131072</v>
      </c>
      <c r="ER90">
        <v>221.63</v>
      </c>
      <c r="ES90">
        <v>46.42</v>
      </c>
      <c r="ET90">
        <v>79.47</v>
      </c>
      <c r="EU90">
        <v>2.62</v>
      </c>
      <c r="EV90">
        <v>95.74</v>
      </c>
      <c r="EW90">
        <v>10.24</v>
      </c>
      <c r="EX90">
        <v>0.4</v>
      </c>
      <c r="EY90">
        <v>0</v>
      </c>
      <c r="FQ90">
        <v>0</v>
      </c>
      <c r="FR90">
        <f t="shared" si="100"/>
        <v>0</v>
      </c>
      <c r="FS90">
        <v>0</v>
      </c>
      <c r="FX90">
        <v>97</v>
      </c>
      <c r="FY90">
        <v>51</v>
      </c>
      <c r="GA90" t="s">
        <v>3</v>
      </c>
      <c r="GD90">
        <v>1</v>
      </c>
      <c r="GF90">
        <v>-1238505130</v>
      </c>
      <c r="GG90">
        <v>2</v>
      </c>
      <c r="GH90">
        <v>1</v>
      </c>
      <c r="GI90">
        <v>4</v>
      </c>
      <c r="GJ90">
        <v>0</v>
      </c>
      <c r="GK90">
        <v>0</v>
      </c>
      <c r="GL90">
        <f t="shared" si="101"/>
        <v>0</v>
      </c>
      <c r="GM90">
        <f t="shared" si="102"/>
        <v>28.78</v>
      </c>
      <c r="GN90">
        <f t="shared" si="103"/>
        <v>0</v>
      </c>
      <c r="GO90">
        <f t="shared" si="104"/>
        <v>28.78</v>
      </c>
      <c r="GP90">
        <f t="shared" si="105"/>
        <v>0</v>
      </c>
      <c r="GR90">
        <v>0</v>
      </c>
      <c r="GS90">
        <v>3</v>
      </c>
      <c r="GT90">
        <v>0</v>
      </c>
      <c r="GU90" t="s">
        <v>3</v>
      </c>
      <c r="GV90">
        <f t="shared" si="106"/>
        <v>0</v>
      </c>
      <c r="GW90">
        <v>1</v>
      </c>
      <c r="GX90">
        <f t="shared" si="107"/>
        <v>0</v>
      </c>
      <c r="HA90">
        <v>0</v>
      </c>
      <c r="HB90">
        <v>0</v>
      </c>
      <c r="HC90">
        <f t="shared" si="108"/>
        <v>0</v>
      </c>
      <c r="HE90" t="s">
        <v>3</v>
      </c>
      <c r="HF90" t="s">
        <v>3</v>
      </c>
      <c r="HI90">
        <f t="shared" si="109"/>
        <v>6.08</v>
      </c>
      <c r="HJ90">
        <f t="shared" si="110"/>
        <v>224.5</v>
      </c>
      <c r="HK90">
        <f t="shared" si="111"/>
        <v>223.66</v>
      </c>
      <c r="HL90">
        <f t="shared" si="112"/>
        <v>117.6</v>
      </c>
      <c r="HM90" t="s">
        <v>3</v>
      </c>
      <c r="HN90" t="s">
        <v>162</v>
      </c>
      <c r="HO90" t="s">
        <v>163</v>
      </c>
      <c r="HP90" t="s">
        <v>160</v>
      </c>
      <c r="HQ90" t="s">
        <v>160</v>
      </c>
      <c r="IK90">
        <v>0</v>
      </c>
    </row>
    <row r="91" spans="1:245">
      <c r="A91">
        <v>17</v>
      </c>
      <c r="B91">
        <v>1</v>
      </c>
      <c r="C91">
        <f>ROW(SmtRes!A95)</f>
        <v>95</v>
      </c>
      <c r="D91">
        <f>ROW(EtalonRes!A95)</f>
        <v>95</v>
      </c>
      <c r="E91" t="s">
        <v>193</v>
      </c>
      <c r="F91" t="s">
        <v>194</v>
      </c>
      <c r="G91" t="s">
        <v>195</v>
      </c>
      <c r="H91" t="s">
        <v>158</v>
      </c>
      <c r="I91">
        <f>ROUND(6/100,7)</f>
        <v>0.06</v>
      </c>
      <c r="J91">
        <v>0</v>
      </c>
      <c r="K91">
        <f>ROUND(6/100,7)</f>
        <v>0.06</v>
      </c>
      <c r="O91">
        <f t="shared" si="72"/>
        <v>0.96</v>
      </c>
      <c r="P91">
        <f t="shared" si="73"/>
        <v>0.01</v>
      </c>
      <c r="Q91">
        <f t="shared" si="74"/>
        <v>0</v>
      </c>
      <c r="R91">
        <f t="shared" si="75"/>
        <v>0</v>
      </c>
      <c r="S91">
        <f t="shared" si="76"/>
        <v>0.95</v>
      </c>
      <c r="T91">
        <f t="shared" si="77"/>
        <v>0</v>
      </c>
      <c r="U91">
        <f t="shared" si="78"/>
        <v>0.10206</v>
      </c>
      <c r="V91">
        <f t="shared" si="79"/>
        <v>0</v>
      </c>
      <c r="W91">
        <f t="shared" si="80"/>
        <v>0</v>
      </c>
      <c r="X91">
        <f t="shared" si="81"/>
        <v>0.92</v>
      </c>
      <c r="Y91">
        <f t="shared" si="82"/>
        <v>0.48</v>
      </c>
      <c r="AA91">
        <v>47920234</v>
      </c>
      <c r="AB91">
        <f t="shared" si="83"/>
        <v>16.14</v>
      </c>
      <c r="AC91">
        <f t="shared" si="84"/>
        <v>0.24</v>
      </c>
      <c r="AD91">
        <f>ROUND(((((ET91*ROUND(1.35,7)))-((EU91*ROUND(1.35,7))))+AE91),2)</f>
        <v>0</v>
      </c>
      <c r="AE91">
        <f t="shared" si="113"/>
        <v>0</v>
      </c>
      <c r="AF91">
        <f t="shared" si="113"/>
        <v>15.9</v>
      </c>
      <c r="AG91">
        <f t="shared" si="86"/>
        <v>0</v>
      </c>
      <c r="AH91">
        <f t="shared" si="114"/>
        <v>1.7010000000000001</v>
      </c>
      <c r="AI91">
        <f t="shared" si="114"/>
        <v>0</v>
      </c>
      <c r="AJ91">
        <f t="shared" si="88"/>
        <v>0</v>
      </c>
      <c r="AK91">
        <v>12.02</v>
      </c>
      <c r="AL91">
        <v>0.24</v>
      </c>
      <c r="AM91">
        <v>0</v>
      </c>
      <c r="AN91">
        <v>0</v>
      </c>
      <c r="AO91">
        <v>11.78</v>
      </c>
      <c r="AP91">
        <v>0</v>
      </c>
      <c r="AQ91">
        <v>1.26</v>
      </c>
      <c r="AR91">
        <v>0</v>
      </c>
      <c r="AS91">
        <v>0</v>
      </c>
      <c r="AT91">
        <v>97</v>
      </c>
      <c r="AU91">
        <v>51</v>
      </c>
      <c r="AV91">
        <v>1</v>
      </c>
      <c r="AW91">
        <v>1</v>
      </c>
      <c r="AZ91">
        <v>1</v>
      </c>
      <c r="BA91">
        <v>28.93</v>
      </c>
      <c r="BB91">
        <v>1</v>
      </c>
      <c r="BC91">
        <v>1</v>
      </c>
      <c r="BD91" t="s">
        <v>3</v>
      </c>
      <c r="BE91" t="s">
        <v>3</v>
      </c>
      <c r="BF91" t="s">
        <v>3</v>
      </c>
      <c r="BG91" t="s">
        <v>3</v>
      </c>
      <c r="BH91">
        <v>0</v>
      </c>
      <c r="BI91">
        <v>2</v>
      </c>
      <c r="BJ91" t="s">
        <v>196</v>
      </c>
      <c r="BM91">
        <v>108001</v>
      </c>
      <c r="BN91">
        <v>0</v>
      </c>
      <c r="BO91" t="s">
        <v>3</v>
      </c>
      <c r="BP91">
        <v>0</v>
      </c>
      <c r="BQ91">
        <v>3</v>
      </c>
      <c r="BR91">
        <v>0</v>
      </c>
      <c r="BS91">
        <v>28.93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3</v>
      </c>
      <c r="BZ91">
        <v>97</v>
      </c>
      <c r="CA91">
        <v>51</v>
      </c>
      <c r="CB91" t="s">
        <v>3</v>
      </c>
      <c r="CE91">
        <v>0</v>
      </c>
      <c r="CF91">
        <v>0</v>
      </c>
      <c r="CG91">
        <v>0</v>
      </c>
      <c r="CM91">
        <v>0</v>
      </c>
      <c r="CN91" t="s">
        <v>3</v>
      </c>
      <c r="CO91">
        <v>0</v>
      </c>
      <c r="CP91">
        <f t="shared" si="89"/>
        <v>0.96</v>
      </c>
      <c r="CQ91">
        <f t="shared" si="90"/>
        <v>0.24</v>
      </c>
      <c r="CR91">
        <f t="shared" si="91"/>
        <v>0</v>
      </c>
      <c r="CS91">
        <f t="shared" si="92"/>
        <v>0</v>
      </c>
      <c r="CT91">
        <f t="shared" si="93"/>
        <v>15.9</v>
      </c>
      <c r="CU91">
        <f t="shared" si="94"/>
        <v>0</v>
      </c>
      <c r="CV91">
        <f t="shared" si="95"/>
        <v>1.7010000000000001</v>
      </c>
      <c r="CW91">
        <f t="shared" si="96"/>
        <v>0</v>
      </c>
      <c r="CX91">
        <f t="shared" si="97"/>
        <v>0</v>
      </c>
      <c r="CY91">
        <f t="shared" si="98"/>
        <v>0.92149999999999987</v>
      </c>
      <c r="CZ91">
        <f t="shared" si="99"/>
        <v>0.48449999999999993</v>
      </c>
      <c r="DC91" t="s">
        <v>3</v>
      </c>
      <c r="DD91" t="s">
        <v>3</v>
      </c>
      <c r="DE91" t="s">
        <v>188</v>
      </c>
      <c r="DF91" t="s">
        <v>188</v>
      </c>
      <c r="DG91" t="s">
        <v>188</v>
      </c>
      <c r="DH91" t="s">
        <v>3</v>
      </c>
      <c r="DI91" t="s">
        <v>188</v>
      </c>
      <c r="DJ91" t="s">
        <v>188</v>
      </c>
      <c r="DK91" t="s">
        <v>3</v>
      </c>
      <c r="DL91" t="s">
        <v>3</v>
      </c>
      <c r="DM91" t="s">
        <v>3</v>
      </c>
      <c r="DN91">
        <v>0</v>
      </c>
      <c r="DO91">
        <v>0</v>
      </c>
      <c r="DP91">
        <v>1</v>
      </c>
      <c r="DQ91">
        <v>1</v>
      </c>
      <c r="DU91">
        <v>1013</v>
      </c>
      <c r="DV91" t="s">
        <v>158</v>
      </c>
      <c r="DW91" t="s">
        <v>158</v>
      </c>
      <c r="DX91">
        <v>1</v>
      </c>
      <c r="DZ91" t="s">
        <v>3</v>
      </c>
      <c r="EA91" t="s">
        <v>3</v>
      </c>
      <c r="EB91" t="s">
        <v>3</v>
      </c>
      <c r="EC91" t="s">
        <v>3</v>
      </c>
      <c r="EE91">
        <v>41328166</v>
      </c>
      <c r="EF91">
        <v>3</v>
      </c>
      <c r="EG91" t="s">
        <v>154</v>
      </c>
      <c r="EH91">
        <v>0</v>
      </c>
      <c r="EI91" t="s">
        <v>3</v>
      </c>
      <c r="EJ91">
        <v>2</v>
      </c>
      <c r="EK91">
        <v>108001</v>
      </c>
      <c r="EL91" t="s">
        <v>160</v>
      </c>
      <c r="EM91" t="s">
        <v>161</v>
      </c>
      <c r="EO91" t="s">
        <v>3</v>
      </c>
      <c r="EQ91">
        <v>131072</v>
      </c>
      <c r="ER91">
        <v>12.02</v>
      </c>
      <c r="ES91">
        <v>0.24</v>
      </c>
      <c r="ET91">
        <v>0</v>
      </c>
      <c r="EU91">
        <v>0</v>
      </c>
      <c r="EV91">
        <v>11.78</v>
      </c>
      <c r="EW91">
        <v>1.26</v>
      </c>
      <c r="EX91">
        <v>0</v>
      </c>
      <c r="EY91">
        <v>0</v>
      </c>
      <c r="FQ91">
        <v>0</v>
      </c>
      <c r="FR91">
        <f t="shared" si="100"/>
        <v>0</v>
      </c>
      <c r="FS91">
        <v>0</v>
      </c>
      <c r="FX91">
        <v>97</v>
      </c>
      <c r="FY91">
        <v>51</v>
      </c>
      <c r="GA91" t="s">
        <v>3</v>
      </c>
      <c r="GD91">
        <v>1</v>
      </c>
      <c r="GF91">
        <v>1145076542</v>
      </c>
      <c r="GG91">
        <v>2</v>
      </c>
      <c r="GH91">
        <v>1</v>
      </c>
      <c r="GI91">
        <v>4</v>
      </c>
      <c r="GJ91">
        <v>0</v>
      </c>
      <c r="GK91">
        <v>0</v>
      </c>
      <c r="GL91">
        <f t="shared" si="101"/>
        <v>0</v>
      </c>
      <c r="GM91">
        <f t="shared" si="102"/>
        <v>2.36</v>
      </c>
      <c r="GN91">
        <f t="shared" si="103"/>
        <v>0</v>
      </c>
      <c r="GO91">
        <f t="shared" si="104"/>
        <v>2.36</v>
      </c>
      <c r="GP91">
        <f t="shared" si="105"/>
        <v>0</v>
      </c>
      <c r="GR91">
        <v>0</v>
      </c>
      <c r="GS91">
        <v>3</v>
      </c>
      <c r="GT91">
        <v>0</v>
      </c>
      <c r="GU91" t="s">
        <v>3</v>
      </c>
      <c r="GV91">
        <f t="shared" si="106"/>
        <v>0</v>
      </c>
      <c r="GW91">
        <v>1</v>
      </c>
      <c r="GX91">
        <f t="shared" si="107"/>
        <v>0</v>
      </c>
      <c r="HA91">
        <v>0</v>
      </c>
      <c r="HB91">
        <v>0</v>
      </c>
      <c r="HC91">
        <f t="shared" si="108"/>
        <v>0</v>
      </c>
      <c r="HE91" t="s">
        <v>3</v>
      </c>
      <c r="HF91" t="s">
        <v>3</v>
      </c>
      <c r="HI91">
        <f t="shared" si="109"/>
        <v>0</v>
      </c>
      <c r="HJ91">
        <f t="shared" si="110"/>
        <v>27.48</v>
      </c>
      <c r="HK91">
        <f t="shared" si="111"/>
        <v>26.66</v>
      </c>
      <c r="HL91">
        <f t="shared" si="112"/>
        <v>14.01</v>
      </c>
      <c r="HM91" t="s">
        <v>3</v>
      </c>
      <c r="HN91" t="s">
        <v>162</v>
      </c>
      <c r="HO91" t="s">
        <v>163</v>
      </c>
      <c r="HP91" t="s">
        <v>160</v>
      </c>
      <c r="HQ91" t="s">
        <v>160</v>
      </c>
      <c r="IK91">
        <v>0</v>
      </c>
    </row>
    <row r="92" spans="1:245">
      <c r="A92">
        <v>17</v>
      </c>
      <c r="B92">
        <v>1</v>
      </c>
      <c r="C92">
        <f>ROW(SmtRes!A102)</f>
        <v>102</v>
      </c>
      <c r="D92">
        <f>ROW(EtalonRes!A102)</f>
        <v>102</v>
      </c>
      <c r="E92" t="s">
        <v>197</v>
      </c>
      <c r="F92" t="s">
        <v>198</v>
      </c>
      <c r="G92" t="s">
        <v>199</v>
      </c>
      <c r="H92" t="s">
        <v>200</v>
      </c>
      <c r="I92">
        <v>2</v>
      </c>
      <c r="J92">
        <v>0</v>
      </c>
      <c r="K92">
        <v>2</v>
      </c>
      <c r="O92">
        <f t="shared" si="72"/>
        <v>2163.88</v>
      </c>
      <c r="P92">
        <f t="shared" si="73"/>
        <v>7.54</v>
      </c>
      <c r="Q92">
        <f t="shared" si="74"/>
        <v>2020.02</v>
      </c>
      <c r="R92">
        <f t="shared" si="75"/>
        <v>151.26</v>
      </c>
      <c r="S92">
        <f t="shared" si="76"/>
        <v>136.32</v>
      </c>
      <c r="T92">
        <f t="shared" si="77"/>
        <v>0</v>
      </c>
      <c r="U92">
        <f t="shared" si="78"/>
        <v>14.580000000000002</v>
      </c>
      <c r="V92">
        <f t="shared" si="79"/>
        <v>11.529</v>
      </c>
      <c r="W92">
        <f t="shared" si="80"/>
        <v>0</v>
      </c>
      <c r="X92">
        <f t="shared" si="81"/>
        <v>278.95</v>
      </c>
      <c r="Y92">
        <f t="shared" si="82"/>
        <v>146.66999999999999</v>
      </c>
      <c r="AA92">
        <v>47920234</v>
      </c>
      <c r="AB92">
        <f t="shared" si="83"/>
        <v>1081.94</v>
      </c>
      <c r="AC92">
        <f t="shared" si="84"/>
        <v>3.77</v>
      </c>
      <c r="AD92">
        <f>ROUND(((((ET92*ROUND(1.35,7)))-((EU92*ROUND(1.35,7))))+AE92),2)</f>
        <v>1010.01</v>
      </c>
      <c r="AE92">
        <f t="shared" si="113"/>
        <v>75.63</v>
      </c>
      <c r="AF92">
        <f t="shared" si="113"/>
        <v>68.16</v>
      </c>
      <c r="AG92">
        <f t="shared" si="86"/>
        <v>0</v>
      </c>
      <c r="AH92">
        <f t="shared" si="114"/>
        <v>7.2900000000000009</v>
      </c>
      <c r="AI92">
        <f t="shared" si="114"/>
        <v>5.7645</v>
      </c>
      <c r="AJ92">
        <f t="shared" si="88"/>
        <v>0</v>
      </c>
      <c r="AK92">
        <v>802.41</v>
      </c>
      <c r="AL92">
        <v>3.77</v>
      </c>
      <c r="AM92">
        <v>748.15</v>
      </c>
      <c r="AN92">
        <v>56.02</v>
      </c>
      <c r="AO92">
        <v>50.49</v>
      </c>
      <c r="AP92">
        <v>0</v>
      </c>
      <c r="AQ92">
        <v>5.4</v>
      </c>
      <c r="AR92">
        <v>4.2699999999999996</v>
      </c>
      <c r="AS92">
        <v>0</v>
      </c>
      <c r="AT92">
        <v>97</v>
      </c>
      <c r="AU92">
        <v>51</v>
      </c>
      <c r="AV92">
        <v>1</v>
      </c>
      <c r="AW92">
        <v>1</v>
      </c>
      <c r="AZ92">
        <v>1</v>
      </c>
      <c r="BA92">
        <v>28.93</v>
      </c>
      <c r="BB92">
        <v>1</v>
      </c>
      <c r="BC92">
        <v>1</v>
      </c>
      <c r="BD92" t="s">
        <v>3</v>
      </c>
      <c r="BE92" t="s">
        <v>3</v>
      </c>
      <c r="BF92" t="s">
        <v>3</v>
      </c>
      <c r="BG92" t="s">
        <v>3</v>
      </c>
      <c r="BH92">
        <v>0</v>
      </c>
      <c r="BI92">
        <v>2</v>
      </c>
      <c r="BJ92" t="s">
        <v>201</v>
      </c>
      <c r="BM92">
        <v>108001</v>
      </c>
      <c r="BN92">
        <v>0</v>
      </c>
      <c r="BO92" t="s">
        <v>3</v>
      </c>
      <c r="BP92">
        <v>0</v>
      </c>
      <c r="BQ92">
        <v>3</v>
      </c>
      <c r="BR92">
        <v>0</v>
      </c>
      <c r="BS92">
        <v>28.93</v>
      </c>
      <c r="BT92">
        <v>1</v>
      </c>
      <c r="BU92">
        <v>1</v>
      </c>
      <c r="BV92">
        <v>1</v>
      </c>
      <c r="BW92">
        <v>1</v>
      </c>
      <c r="BX92">
        <v>1</v>
      </c>
      <c r="BY92" t="s">
        <v>3</v>
      </c>
      <c r="BZ92">
        <v>97</v>
      </c>
      <c r="CA92">
        <v>51</v>
      </c>
      <c r="CB92" t="s">
        <v>3</v>
      </c>
      <c r="CE92">
        <v>0</v>
      </c>
      <c r="CF92">
        <v>0</v>
      </c>
      <c r="CG92">
        <v>0</v>
      </c>
      <c r="CM92">
        <v>0</v>
      </c>
      <c r="CN92" t="s">
        <v>3</v>
      </c>
      <c r="CO92">
        <v>0</v>
      </c>
      <c r="CP92">
        <f t="shared" si="89"/>
        <v>2163.88</v>
      </c>
      <c r="CQ92">
        <f t="shared" si="90"/>
        <v>3.77</v>
      </c>
      <c r="CR92">
        <f t="shared" si="91"/>
        <v>1010.01</v>
      </c>
      <c r="CS92">
        <f t="shared" si="92"/>
        <v>75.63</v>
      </c>
      <c r="CT92">
        <f t="shared" si="93"/>
        <v>68.16</v>
      </c>
      <c r="CU92">
        <f t="shared" si="94"/>
        <v>0</v>
      </c>
      <c r="CV92">
        <f t="shared" si="95"/>
        <v>7.2900000000000009</v>
      </c>
      <c r="CW92">
        <f t="shared" si="96"/>
        <v>5.7645</v>
      </c>
      <c r="CX92">
        <f t="shared" si="97"/>
        <v>0</v>
      </c>
      <c r="CY92">
        <f t="shared" si="98"/>
        <v>278.95259999999996</v>
      </c>
      <c r="CZ92">
        <f t="shared" si="99"/>
        <v>146.66579999999999</v>
      </c>
      <c r="DC92" t="s">
        <v>3</v>
      </c>
      <c r="DD92" t="s">
        <v>3</v>
      </c>
      <c r="DE92" t="s">
        <v>188</v>
      </c>
      <c r="DF92" t="s">
        <v>188</v>
      </c>
      <c r="DG92" t="s">
        <v>188</v>
      </c>
      <c r="DH92" t="s">
        <v>3</v>
      </c>
      <c r="DI92" t="s">
        <v>188</v>
      </c>
      <c r="DJ92" t="s">
        <v>188</v>
      </c>
      <c r="DK92" t="s">
        <v>3</v>
      </c>
      <c r="DL92" t="s">
        <v>3</v>
      </c>
      <c r="DM92" t="s">
        <v>3</v>
      </c>
      <c r="DN92">
        <v>0</v>
      </c>
      <c r="DO92">
        <v>0</v>
      </c>
      <c r="DP92">
        <v>1</v>
      </c>
      <c r="DQ92">
        <v>1</v>
      </c>
      <c r="DU92">
        <v>1013</v>
      </c>
      <c r="DV92" t="s">
        <v>200</v>
      </c>
      <c r="DW92" t="s">
        <v>200</v>
      </c>
      <c r="DX92">
        <v>1</v>
      </c>
      <c r="DZ92" t="s">
        <v>3</v>
      </c>
      <c r="EA92" t="s">
        <v>3</v>
      </c>
      <c r="EB92" t="s">
        <v>3</v>
      </c>
      <c r="EC92" t="s">
        <v>3</v>
      </c>
      <c r="EE92">
        <v>41328166</v>
      </c>
      <c r="EF92">
        <v>3</v>
      </c>
      <c r="EG92" t="s">
        <v>154</v>
      </c>
      <c r="EH92">
        <v>0</v>
      </c>
      <c r="EI92" t="s">
        <v>3</v>
      </c>
      <c r="EJ92">
        <v>2</v>
      </c>
      <c r="EK92">
        <v>108001</v>
      </c>
      <c r="EL92" t="s">
        <v>160</v>
      </c>
      <c r="EM92" t="s">
        <v>161</v>
      </c>
      <c r="EO92" t="s">
        <v>3</v>
      </c>
      <c r="EQ92">
        <v>131072</v>
      </c>
      <c r="ER92">
        <v>802.41</v>
      </c>
      <c r="ES92">
        <v>3.77</v>
      </c>
      <c r="ET92">
        <v>748.15</v>
      </c>
      <c r="EU92">
        <v>56.02</v>
      </c>
      <c r="EV92">
        <v>50.49</v>
      </c>
      <c r="EW92">
        <v>5.4</v>
      </c>
      <c r="EX92">
        <v>4.2699999999999996</v>
      </c>
      <c r="EY92">
        <v>0</v>
      </c>
      <c r="FQ92">
        <v>0</v>
      </c>
      <c r="FR92">
        <f t="shared" si="100"/>
        <v>0</v>
      </c>
      <c r="FS92">
        <v>0</v>
      </c>
      <c r="FX92">
        <v>97</v>
      </c>
      <c r="FY92">
        <v>51</v>
      </c>
      <c r="GA92" t="s">
        <v>3</v>
      </c>
      <c r="GD92">
        <v>1</v>
      </c>
      <c r="GF92">
        <v>-113167768</v>
      </c>
      <c r="GG92">
        <v>2</v>
      </c>
      <c r="GH92">
        <v>1</v>
      </c>
      <c r="GI92">
        <v>4</v>
      </c>
      <c r="GJ92">
        <v>0</v>
      </c>
      <c r="GK92">
        <v>0</v>
      </c>
      <c r="GL92">
        <f t="shared" si="101"/>
        <v>0</v>
      </c>
      <c r="GM92">
        <f t="shared" si="102"/>
        <v>2589.5</v>
      </c>
      <c r="GN92">
        <f t="shared" si="103"/>
        <v>0</v>
      </c>
      <c r="GO92">
        <f t="shared" si="104"/>
        <v>2589.5</v>
      </c>
      <c r="GP92">
        <f t="shared" si="105"/>
        <v>0</v>
      </c>
      <c r="GR92">
        <v>0</v>
      </c>
      <c r="GS92">
        <v>3</v>
      </c>
      <c r="GT92">
        <v>0</v>
      </c>
      <c r="GU92" t="s">
        <v>3</v>
      </c>
      <c r="GV92">
        <f t="shared" si="106"/>
        <v>0</v>
      </c>
      <c r="GW92">
        <v>1</v>
      </c>
      <c r="GX92">
        <f t="shared" si="107"/>
        <v>0</v>
      </c>
      <c r="HA92">
        <v>0</v>
      </c>
      <c r="HB92">
        <v>0</v>
      </c>
      <c r="HC92">
        <f t="shared" si="108"/>
        <v>0</v>
      </c>
      <c r="HE92" t="s">
        <v>3</v>
      </c>
      <c r="HF92" t="s">
        <v>3</v>
      </c>
      <c r="HI92">
        <f t="shared" si="109"/>
        <v>4375.95</v>
      </c>
      <c r="HJ92">
        <f t="shared" si="110"/>
        <v>3943.74</v>
      </c>
      <c r="HK92">
        <f t="shared" si="111"/>
        <v>8070.1</v>
      </c>
      <c r="HL92">
        <f t="shared" si="112"/>
        <v>4243.04</v>
      </c>
      <c r="HM92" t="s">
        <v>3</v>
      </c>
      <c r="HN92" t="s">
        <v>162</v>
      </c>
      <c r="HO92" t="s">
        <v>163</v>
      </c>
      <c r="HP92" t="s">
        <v>160</v>
      </c>
      <c r="HQ92" t="s">
        <v>160</v>
      </c>
      <c r="IK92">
        <v>0</v>
      </c>
    </row>
    <row r="93" spans="1:245">
      <c r="A93">
        <v>17</v>
      </c>
      <c r="B93">
        <v>1</v>
      </c>
      <c r="C93">
        <f>ROW(SmtRes!A105)</f>
        <v>105</v>
      </c>
      <c r="D93">
        <f>ROW(EtalonRes!A105)</f>
        <v>105</v>
      </c>
      <c r="E93" t="s">
        <v>202</v>
      </c>
      <c r="F93" t="s">
        <v>203</v>
      </c>
      <c r="G93" t="s">
        <v>204</v>
      </c>
      <c r="H93" t="s">
        <v>205</v>
      </c>
      <c r="I93">
        <f>ROUND(8/100,7)</f>
        <v>0.08</v>
      </c>
      <c r="J93">
        <v>0</v>
      </c>
      <c r="K93">
        <f>ROUND(8/100,7)</f>
        <v>0.08</v>
      </c>
      <c r="O93">
        <f t="shared" si="72"/>
        <v>23.28</v>
      </c>
      <c r="P93">
        <f t="shared" si="73"/>
        <v>0.34</v>
      </c>
      <c r="Q93">
        <f t="shared" si="74"/>
        <v>0</v>
      </c>
      <c r="R93">
        <f t="shared" si="75"/>
        <v>0</v>
      </c>
      <c r="S93">
        <f t="shared" si="76"/>
        <v>22.94</v>
      </c>
      <c r="T93">
        <f t="shared" si="77"/>
        <v>0</v>
      </c>
      <c r="U93">
        <f t="shared" si="78"/>
        <v>2.4537599999999999</v>
      </c>
      <c r="V93">
        <f t="shared" si="79"/>
        <v>0</v>
      </c>
      <c r="W93">
        <f t="shared" si="80"/>
        <v>0</v>
      </c>
      <c r="X93">
        <f t="shared" si="81"/>
        <v>22.25</v>
      </c>
      <c r="Y93">
        <f t="shared" si="82"/>
        <v>11.7</v>
      </c>
      <c r="AA93">
        <v>47920234</v>
      </c>
      <c r="AB93">
        <f t="shared" si="83"/>
        <v>291.02999999999997</v>
      </c>
      <c r="AC93">
        <f t="shared" si="84"/>
        <v>4.25</v>
      </c>
      <c r="AD93">
        <f>ROUND(((((ET93*ROUND(1.35,7)))-((EU93*ROUND(1.35,7))))+AE93),2)</f>
        <v>0</v>
      </c>
      <c r="AE93">
        <f t="shared" si="113"/>
        <v>0</v>
      </c>
      <c r="AF93">
        <f t="shared" si="113"/>
        <v>286.77999999999997</v>
      </c>
      <c r="AG93">
        <f t="shared" si="86"/>
        <v>0</v>
      </c>
      <c r="AH93">
        <f t="shared" si="114"/>
        <v>30.672000000000001</v>
      </c>
      <c r="AI93">
        <f t="shared" si="114"/>
        <v>0</v>
      </c>
      <c r="AJ93">
        <f t="shared" si="88"/>
        <v>0</v>
      </c>
      <c r="AK93">
        <v>216.68</v>
      </c>
      <c r="AL93">
        <v>4.25</v>
      </c>
      <c r="AM93">
        <v>0</v>
      </c>
      <c r="AN93">
        <v>0</v>
      </c>
      <c r="AO93">
        <v>212.43</v>
      </c>
      <c r="AP93">
        <v>0</v>
      </c>
      <c r="AQ93">
        <v>22.72</v>
      </c>
      <c r="AR93">
        <v>0</v>
      </c>
      <c r="AS93">
        <v>0</v>
      </c>
      <c r="AT93">
        <v>97</v>
      </c>
      <c r="AU93">
        <v>51</v>
      </c>
      <c r="AV93">
        <v>1</v>
      </c>
      <c r="AW93">
        <v>1</v>
      </c>
      <c r="AZ93">
        <v>1</v>
      </c>
      <c r="BA93">
        <v>28.93</v>
      </c>
      <c r="BB93">
        <v>1</v>
      </c>
      <c r="BC93">
        <v>1</v>
      </c>
      <c r="BD93" t="s">
        <v>3</v>
      </c>
      <c r="BE93" t="s">
        <v>3</v>
      </c>
      <c r="BF93" t="s">
        <v>3</v>
      </c>
      <c r="BG93" t="s">
        <v>3</v>
      </c>
      <c r="BH93">
        <v>0</v>
      </c>
      <c r="BI93">
        <v>2</v>
      </c>
      <c r="BJ93" t="s">
        <v>206</v>
      </c>
      <c r="BM93">
        <v>108001</v>
      </c>
      <c r="BN93">
        <v>0</v>
      </c>
      <c r="BO93" t="s">
        <v>3</v>
      </c>
      <c r="BP93">
        <v>0</v>
      </c>
      <c r="BQ93">
        <v>3</v>
      </c>
      <c r="BR93">
        <v>0</v>
      </c>
      <c r="BS93">
        <v>28.93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3</v>
      </c>
      <c r="BZ93">
        <v>97</v>
      </c>
      <c r="CA93">
        <v>51</v>
      </c>
      <c r="CB93" t="s">
        <v>3</v>
      </c>
      <c r="CE93">
        <v>0</v>
      </c>
      <c r="CF93">
        <v>0</v>
      </c>
      <c r="CG93">
        <v>0</v>
      </c>
      <c r="CM93">
        <v>0</v>
      </c>
      <c r="CN93" t="s">
        <v>3</v>
      </c>
      <c r="CO93">
        <v>0</v>
      </c>
      <c r="CP93">
        <f t="shared" si="89"/>
        <v>23.28</v>
      </c>
      <c r="CQ93">
        <f t="shared" si="90"/>
        <v>4.25</v>
      </c>
      <c r="CR93">
        <f t="shared" si="91"/>
        <v>0</v>
      </c>
      <c r="CS93">
        <f t="shared" si="92"/>
        <v>0</v>
      </c>
      <c r="CT93">
        <f t="shared" si="93"/>
        <v>286.77999999999997</v>
      </c>
      <c r="CU93">
        <f t="shared" si="94"/>
        <v>0</v>
      </c>
      <c r="CV93">
        <f t="shared" si="95"/>
        <v>30.672000000000001</v>
      </c>
      <c r="CW93">
        <f t="shared" si="96"/>
        <v>0</v>
      </c>
      <c r="CX93">
        <f t="shared" si="97"/>
        <v>0</v>
      </c>
      <c r="CY93">
        <f t="shared" si="98"/>
        <v>22.251800000000003</v>
      </c>
      <c r="CZ93">
        <f t="shared" si="99"/>
        <v>11.699400000000001</v>
      </c>
      <c r="DC93" t="s">
        <v>3</v>
      </c>
      <c r="DD93" t="s">
        <v>3</v>
      </c>
      <c r="DE93" t="s">
        <v>188</v>
      </c>
      <c r="DF93" t="s">
        <v>188</v>
      </c>
      <c r="DG93" t="s">
        <v>188</v>
      </c>
      <c r="DH93" t="s">
        <v>3</v>
      </c>
      <c r="DI93" t="s">
        <v>188</v>
      </c>
      <c r="DJ93" t="s">
        <v>188</v>
      </c>
      <c r="DK93" t="s">
        <v>3</v>
      </c>
      <c r="DL93" t="s">
        <v>3</v>
      </c>
      <c r="DM93" t="s">
        <v>3</v>
      </c>
      <c r="DN93">
        <v>0</v>
      </c>
      <c r="DO93">
        <v>0</v>
      </c>
      <c r="DP93">
        <v>1</v>
      </c>
      <c r="DQ93">
        <v>1</v>
      </c>
      <c r="DU93">
        <v>1010</v>
      </c>
      <c r="DV93" t="s">
        <v>205</v>
      </c>
      <c r="DW93" t="s">
        <v>205</v>
      </c>
      <c r="DX93">
        <v>100</v>
      </c>
      <c r="DZ93" t="s">
        <v>3</v>
      </c>
      <c r="EA93" t="s">
        <v>3</v>
      </c>
      <c r="EB93" t="s">
        <v>3</v>
      </c>
      <c r="EC93" t="s">
        <v>3</v>
      </c>
      <c r="EE93">
        <v>41328166</v>
      </c>
      <c r="EF93">
        <v>3</v>
      </c>
      <c r="EG93" t="s">
        <v>154</v>
      </c>
      <c r="EH93">
        <v>0</v>
      </c>
      <c r="EI93" t="s">
        <v>3</v>
      </c>
      <c r="EJ93">
        <v>2</v>
      </c>
      <c r="EK93">
        <v>108001</v>
      </c>
      <c r="EL93" t="s">
        <v>160</v>
      </c>
      <c r="EM93" t="s">
        <v>161</v>
      </c>
      <c r="EO93" t="s">
        <v>3</v>
      </c>
      <c r="EQ93">
        <v>131072</v>
      </c>
      <c r="ER93">
        <v>216.68</v>
      </c>
      <c r="ES93">
        <v>4.25</v>
      </c>
      <c r="ET93">
        <v>0</v>
      </c>
      <c r="EU93">
        <v>0</v>
      </c>
      <c r="EV93">
        <v>212.43</v>
      </c>
      <c r="EW93">
        <v>22.72</v>
      </c>
      <c r="EX93">
        <v>0</v>
      </c>
      <c r="EY93">
        <v>0</v>
      </c>
      <c r="FQ93">
        <v>0</v>
      </c>
      <c r="FR93">
        <f t="shared" si="100"/>
        <v>0</v>
      </c>
      <c r="FS93">
        <v>0</v>
      </c>
      <c r="FX93">
        <v>97</v>
      </c>
      <c r="FY93">
        <v>51</v>
      </c>
      <c r="GA93" t="s">
        <v>3</v>
      </c>
      <c r="GD93">
        <v>1</v>
      </c>
      <c r="GF93">
        <v>303087102</v>
      </c>
      <c r="GG93">
        <v>2</v>
      </c>
      <c r="GH93">
        <v>1</v>
      </c>
      <c r="GI93">
        <v>4</v>
      </c>
      <c r="GJ93">
        <v>0</v>
      </c>
      <c r="GK93">
        <v>0</v>
      </c>
      <c r="GL93">
        <f t="shared" si="101"/>
        <v>0</v>
      </c>
      <c r="GM93">
        <f t="shared" si="102"/>
        <v>57.23</v>
      </c>
      <c r="GN93">
        <f t="shared" si="103"/>
        <v>0</v>
      </c>
      <c r="GO93">
        <f t="shared" si="104"/>
        <v>57.23</v>
      </c>
      <c r="GP93">
        <f t="shared" si="105"/>
        <v>0</v>
      </c>
      <c r="GR93">
        <v>0</v>
      </c>
      <c r="GS93">
        <v>3</v>
      </c>
      <c r="GT93">
        <v>0</v>
      </c>
      <c r="GU93" t="s">
        <v>3</v>
      </c>
      <c r="GV93">
        <f t="shared" si="106"/>
        <v>0</v>
      </c>
      <c r="GW93">
        <v>1</v>
      </c>
      <c r="GX93">
        <f t="shared" si="107"/>
        <v>0</v>
      </c>
      <c r="HA93">
        <v>0</v>
      </c>
      <c r="HB93">
        <v>0</v>
      </c>
      <c r="HC93">
        <f t="shared" si="108"/>
        <v>0</v>
      </c>
      <c r="HE93" t="s">
        <v>3</v>
      </c>
      <c r="HF93" t="s">
        <v>3</v>
      </c>
      <c r="HI93">
        <f t="shared" si="109"/>
        <v>0</v>
      </c>
      <c r="HJ93">
        <f t="shared" si="110"/>
        <v>663.65</v>
      </c>
      <c r="HK93">
        <f t="shared" si="111"/>
        <v>643.74</v>
      </c>
      <c r="HL93">
        <f t="shared" si="112"/>
        <v>338.46</v>
      </c>
      <c r="HM93" t="s">
        <v>3</v>
      </c>
      <c r="HN93" t="s">
        <v>162</v>
      </c>
      <c r="HO93" t="s">
        <v>163</v>
      </c>
      <c r="HP93" t="s">
        <v>160</v>
      </c>
      <c r="HQ93" t="s">
        <v>160</v>
      </c>
      <c r="IK93">
        <v>0</v>
      </c>
    </row>
    <row r="94" spans="1:245">
      <c r="A94">
        <v>17</v>
      </c>
      <c r="B94">
        <v>1</v>
      </c>
      <c r="C94">
        <f>ROW(SmtRes!A114)</f>
        <v>114</v>
      </c>
      <c r="D94">
        <f>ROW(EtalonRes!A114)</f>
        <v>114</v>
      </c>
      <c r="E94" t="s">
        <v>207</v>
      </c>
      <c r="F94" t="s">
        <v>208</v>
      </c>
      <c r="G94" t="s">
        <v>209</v>
      </c>
      <c r="H94" t="s">
        <v>200</v>
      </c>
      <c r="I94">
        <v>8</v>
      </c>
      <c r="J94">
        <v>0</v>
      </c>
      <c r="K94">
        <v>8</v>
      </c>
      <c r="O94">
        <f t="shared" si="72"/>
        <v>1470.32</v>
      </c>
      <c r="P94">
        <f t="shared" si="73"/>
        <v>169.52</v>
      </c>
      <c r="Q94">
        <f t="shared" si="74"/>
        <v>78.64</v>
      </c>
      <c r="R94">
        <f t="shared" si="75"/>
        <v>4.32</v>
      </c>
      <c r="S94">
        <f t="shared" si="76"/>
        <v>1222.1600000000001</v>
      </c>
      <c r="T94">
        <f t="shared" si="77"/>
        <v>0</v>
      </c>
      <c r="U94">
        <f t="shared" si="78"/>
        <v>130.71359999999999</v>
      </c>
      <c r="V94">
        <f t="shared" si="79"/>
        <v>0.66239999999999988</v>
      </c>
      <c r="W94">
        <f t="shared" si="80"/>
        <v>0</v>
      </c>
      <c r="X94">
        <f t="shared" si="81"/>
        <v>1189.69</v>
      </c>
      <c r="Y94">
        <f t="shared" si="82"/>
        <v>625.5</v>
      </c>
      <c r="AA94">
        <v>47920234</v>
      </c>
      <c r="AB94">
        <f t="shared" si="83"/>
        <v>183.79</v>
      </c>
      <c r="AC94">
        <f t="shared" si="84"/>
        <v>21.19</v>
      </c>
      <c r="AD94">
        <f>ROUND(((((ET94*ROUND((1.15*1.2),7)))-((EU94*ROUND((1.15*1.2),7))))+AE94),2)</f>
        <v>9.83</v>
      </c>
      <c r="AE94">
        <f>ROUND(((EU94*ROUND((1.15*1.2),7))),2)</f>
        <v>0.54</v>
      </c>
      <c r="AF94">
        <f>ROUND(((EV94*ROUND((1.15*1.2),7))),2)</f>
        <v>152.77000000000001</v>
      </c>
      <c r="AG94">
        <f t="shared" si="86"/>
        <v>0</v>
      </c>
      <c r="AH94">
        <f>((EW94*ROUND((1.15*1.2),7)))</f>
        <v>16.339199999999998</v>
      </c>
      <c r="AI94">
        <f>((EX94*ROUND((1.15*1.2),7)))</f>
        <v>8.2799999999999985E-2</v>
      </c>
      <c r="AJ94">
        <f t="shared" si="88"/>
        <v>0</v>
      </c>
      <c r="AK94">
        <v>139.01</v>
      </c>
      <c r="AL94">
        <v>21.19</v>
      </c>
      <c r="AM94">
        <v>7.12</v>
      </c>
      <c r="AN94">
        <v>0.39</v>
      </c>
      <c r="AO94">
        <v>110.7</v>
      </c>
      <c r="AP94">
        <v>0</v>
      </c>
      <c r="AQ94">
        <v>11.84</v>
      </c>
      <c r="AR94">
        <v>0.06</v>
      </c>
      <c r="AS94">
        <v>0</v>
      </c>
      <c r="AT94">
        <v>97</v>
      </c>
      <c r="AU94">
        <v>51</v>
      </c>
      <c r="AV94">
        <v>1</v>
      </c>
      <c r="AW94">
        <v>1</v>
      </c>
      <c r="AZ94">
        <v>1</v>
      </c>
      <c r="BA94">
        <v>28.93</v>
      </c>
      <c r="BB94">
        <v>1</v>
      </c>
      <c r="BC94">
        <v>1</v>
      </c>
      <c r="BD94" t="s">
        <v>3</v>
      </c>
      <c r="BE94" t="s">
        <v>3</v>
      </c>
      <c r="BF94" t="s">
        <v>3</v>
      </c>
      <c r="BG94" t="s">
        <v>3</v>
      </c>
      <c r="BH94">
        <v>0</v>
      </c>
      <c r="BI94">
        <v>2</v>
      </c>
      <c r="BJ94" t="s">
        <v>210</v>
      </c>
      <c r="BM94">
        <v>108001</v>
      </c>
      <c r="BN94">
        <v>0</v>
      </c>
      <c r="BO94" t="s">
        <v>3</v>
      </c>
      <c r="BP94">
        <v>0</v>
      </c>
      <c r="BQ94">
        <v>3</v>
      </c>
      <c r="BR94">
        <v>0</v>
      </c>
      <c r="BS94">
        <v>28.93</v>
      </c>
      <c r="BT94">
        <v>1</v>
      </c>
      <c r="BU94">
        <v>1</v>
      </c>
      <c r="BV94">
        <v>1</v>
      </c>
      <c r="BW94">
        <v>1</v>
      </c>
      <c r="BX94">
        <v>1</v>
      </c>
      <c r="BY94" t="s">
        <v>3</v>
      </c>
      <c r="BZ94">
        <v>97</v>
      </c>
      <c r="CA94">
        <v>51</v>
      </c>
      <c r="CB94" t="s">
        <v>3</v>
      </c>
      <c r="CE94">
        <v>0</v>
      </c>
      <c r="CF94">
        <v>0</v>
      </c>
      <c r="CG94">
        <v>0</v>
      </c>
      <c r="CM94">
        <v>0</v>
      </c>
      <c r="CN94" t="s">
        <v>3</v>
      </c>
      <c r="CO94">
        <v>0</v>
      </c>
      <c r="CP94">
        <f t="shared" si="89"/>
        <v>1470.3200000000002</v>
      </c>
      <c r="CQ94">
        <f t="shared" si="90"/>
        <v>21.19</v>
      </c>
      <c r="CR94">
        <f t="shared" si="91"/>
        <v>9.83</v>
      </c>
      <c r="CS94">
        <f t="shared" si="92"/>
        <v>0.54</v>
      </c>
      <c r="CT94">
        <f t="shared" si="93"/>
        <v>152.77000000000001</v>
      </c>
      <c r="CU94">
        <f t="shared" si="94"/>
        <v>0</v>
      </c>
      <c r="CV94">
        <f t="shared" si="95"/>
        <v>16.339199999999998</v>
      </c>
      <c r="CW94">
        <f t="shared" si="96"/>
        <v>8.2799999999999985E-2</v>
      </c>
      <c r="CX94">
        <f t="shared" si="97"/>
        <v>0</v>
      </c>
      <c r="CY94">
        <f t="shared" si="98"/>
        <v>1189.6856</v>
      </c>
      <c r="CZ94">
        <f t="shared" si="99"/>
        <v>625.50480000000005</v>
      </c>
      <c r="DC94" t="s">
        <v>3</v>
      </c>
      <c r="DD94" t="s">
        <v>3</v>
      </c>
      <c r="DE94" t="s">
        <v>66</v>
      </c>
      <c r="DF94" t="s">
        <v>66</v>
      </c>
      <c r="DG94" t="s">
        <v>66</v>
      </c>
      <c r="DH94" t="s">
        <v>3</v>
      </c>
      <c r="DI94" t="s">
        <v>66</v>
      </c>
      <c r="DJ94" t="s">
        <v>66</v>
      </c>
      <c r="DK94" t="s">
        <v>3</v>
      </c>
      <c r="DL94" t="s">
        <v>3</v>
      </c>
      <c r="DM94" t="s">
        <v>3</v>
      </c>
      <c r="DN94">
        <v>0</v>
      </c>
      <c r="DO94">
        <v>0</v>
      </c>
      <c r="DP94">
        <v>1</v>
      </c>
      <c r="DQ94">
        <v>1</v>
      </c>
      <c r="DU94">
        <v>1013</v>
      </c>
      <c r="DV94" t="s">
        <v>200</v>
      </c>
      <c r="DW94" t="s">
        <v>200</v>
      </c>
      <c r="DX94">
        <v>1</v>
      </c>
      <c r="DZ94" t="s">
        <v>3</v>
      </c>
      <c r="EA94" t="s">
        <v>3</v>
      </c>
      <c r="EB94" t="s">
        <v>3</v>
      </c>
      <c r="EC94" t="s">
        <v>3</v>
      </c>
      <c r="EE94">
        <v>41328166</v>
      </c>
      <c r="EF94">
        <v>3</v>
      </c>
      <c r="EG94" t="s">
        <v>154</v>
      </c>
      <c r="EH94">
        <v>0</v>
      </c>
      <c r="EI94" t="s">
        <v>3</v>
      </c>
      <c r="EJ94">
        <v>2</v>
      </c>
      <c r="EK94">
        <v>108001</v>
      </c>
      <c r="EL94" t="s">
        <v>160</v>
      </c>
      <c r="EM94" t="s">
        <v>161</v>
      </c>
      <c r="EO94" t="s">
        <v>3</v>
      </c>
      <c r="EQ94">
        <v>131072</v>
      </c>
      <c r="ER94">
        <v>139.01</v>
      </c>
      <c r="ES94">
        <v>21.19</v>
      </c>
      <c r="ET94">
        <v>7.12</v>
      </c>
      <c r="EU94">
        <v>0.39</v>
      </c>
      <c r="EV94">
        <v>110.7</v>
      </c>
      <c r="EW94">
        <v>11.84</v>
      </c>
      <c r="EX94">
        <v>0.06</v>
      </c>
      <c r="EY94">
        <v>0</v>
      </c>
      <c r="FQ94">
        <v>0</v>
      </c>
      <c r="FR94">
        <f t="shared" si="100"/>
        <v>0</v>
      </c>
      <c r="FS94">
        <v>0</v>
      </c>
      <c r="FX94">
        <v>97</v>
      </c>
      <c r="FY94">
        <v>51</v>
      </c>
      <c r="GA94" t="s">
        <v>3</v>
      </c>
      <c r="GD94">
        <v>1</v>
      </c>
      <c r="GF94">
        <v>665324527</v>
      </c>
      <c r="GG94">
        <v>2</v>
      </c>
      <c r="GH94">
        <v>1</v>
      </c>
      <c r="GI94">
        <v>4</v>
      </c>
      <c r="GJ94">
        <v>0</v>
      </c>
      <c r="GK94">
        <v>0</v>
      </c>
      <c r="GL94">
        <f t="shared" si="101"/>
        <v>0</v>
      </c>
      <c r="GM94">
        <f t="shared" si="102"/>
        <v>3285.51</v>
      </c>
      <c r="GN94">
        <f t="shared" si="103"/>
        <v>0</v>
      </c>
      <c r="GO94">
        <f t="shared" si="104"/>
        <v>3285.51</v>
      </c>
      <c r="GP94">
        <f t="shared" si="105"/>
        <v>0</v>
      </c>
      <c r="GR94">
        <v>0</v>
      </c>
      <c r="GS94">
        <v>3</v>
      </c>
      <c r="GT94">
        <v>0</v>
      </c>
      <c r="GU94" t="s">
        <v>3</v>
      </c>
      <c r="GV94">
        <f t="shared" si="106"/>
        <v>0</v>
      </c>
      <c r="GW94">
        <v>1</v>
      </c>
      <c r="GX94">
        <f t="shared" si="107"/>
        <v>0</v>
      </c>
      <c r="HA94">
        <v>0</v>
      </c>
      <c r="HB94">
        <v>0</v>
      </c>
      <c r="HC94">
        <f t="shared" si="108"/>
        <v>0</v>
      </c>
      <c r="HE94" t="s">
        <v>3</v>
      </c>
      <c r="HF94" t="s">
        <v>3</v>
      </c>
      <c r="HI94">
        <f t="shared" si="109"/>
        <v>124.98</v>
      </c>
      <c r="HJ94">
        <f t="shared" si="110"/>
        <v>35357.089999999997</v>
      </c>
      <c r="HK94">
        <f t="shared" si="111"/>
        <v>34417.61</v>
      </c>
      <c r="HL94">
        <f t="shared" si="112"/>
        <v>18095.86</v>
      </c>
      <c r="HM94" t="s">
        <v>3</v>
      </c>
      <c r="HN94" t="s">
        <v>162</v>
      </c>
      <c r="HO94" t="s">
        <v>163</v>
      </c>
      <c r="HP94" t="s">
        <v>160</v>
      </c>
      <c r="HQ94" t="s">
        <v>160</v>
      </c>
      <c r="IK94">
        <v>0</v>
      </c>
    </row>
    <row r="95" spans="1:245">
      <c r="A95">
        <v>17</v>
      </c>
      <c r="B95">
        <v>1</v>
      </c>
      <c r="C95">
        <f>ROW(SmtRes!A120)</f>
        <v>120</v>
      </c>
      <c r="D95">
        <f>ROW(EtalonRes!A120)</f>
        <v>120</v>
      </c>
      <c r="E95" t="s">
        <v>211</v>
      </c>
      <c r="F95" t="s">
        <v>212</v>
      </c>
      <c r="G95" t="s">
        <v>213</v>
      </c>
      <c r="H95" t="s">
        <v>214</v>
      </c>
      <c r="I95">
        <v>8</v>
      </c>
      <c r="J95">
        <v>0</v>
      </c>
      <c r="K95">
        <v>8</v>
      </c>
      <c r="O95">
        <f t="shared" si="72"/>
        <v>181.52</v>
      </c>
      <c r="P95">
        <f t="shared" si="73"/>
        <v>142.32</v>
      </c>
      <c r="Q95">
        <f t="shared" si="74"/>
        <v>0</v>
      </c>
      <c r="R95">
        <f t="shared" si="75"/>
        <v>0</v>
      </c>
      <c r="S95">
        <f t="shared" si="76"/>
        <v>39.200000000000003</v>
      </c>
      <c r="T95">
        <f t="shared" si="77"/>
        <v>0</v>
      </c>
      <c r="U95">
        <f t="shared" si="78"/>
        <v>4.1951999999999998</v>
      </c>
      <c r="V95">
        <f t="shared" si="79"/>
        <v>0</v>
      </c>
      <c r="W95">
        <f t="shared" si="80"/>
        <v>0</v>
      </c>
      <c r="X95">
        <f t="shared" si="81"/>
        <v>38.020000000000003</v>
      </c>
      <c r="Y95">
        <f t="shared" si="82"/>
        <v>19.989999999999998</v>
      </c>
      <c r="AA95">
        <v>47920234</v>
      </c>
      <c r="AB95">
        <f t="shared" si="83"/>
        <v>22.69</v>
      </c>
      <c r="AC95">
        <f t="shared" si="84"/>
        <v>17.79</v>
      </c>
      <c r="AD95">
        <f>ROUND(((((ET95*ROUND((1.15*1.2),7)))-((EU95*ROUND((1.15*1.2),7))))+AE95),2)</f>
        <v>0</v>
      </c>
      <c r="AE95">
        <f>ROUND(((EU95*ROUND((1.15*1.2),7))),2)</f>
        <v>0</v>
      </c>
      <c r="AF95">
        <f>ROUND(((EV95*ROUND((1.15*1.2),7))),2)</f>
        <v>4.9000000000000004</v>
      </c>
      <c r="AG95">
        <f t="shared" si="86"/>
        <v>0</v>
      </c>
      <c r="AH95">
        <f>((EW95*ROUND((1.15*1.2),7)))</f>
        <v>0.52439999999999998</v>
      </c>
      <c r="AI95">
        <f>((EX95*ROUND((1.15*1.2),7)))</f>
        <v>0</v>
      </c>
      <c r="AJ95">
        <f t="shared" si="88"/>
        <v>0</v>
      </c>
      <c r="AK95">
        <v>21.34</v>
      </c>
      <c r="AL95">
        <v>17.79</v>
      </c>
      <c r="AM95">
        <v>0</v>
      </c>
      <c r="AN95">
        <v>0</v>
      </c>
      <c r="AO95">
        <v>3.55</v>
      </c>
      <c r="AP95">
        <v>0</v>
      </c>
      <c r="AQ95">
        <v>0.38</v>
      </c>
      <c r="AR95">
        <v>0</v>
      </c>
      <c r="AS95">
        <v>0</v>
      </c>
      <c r="AT95">
        <v>97</v>
      </c>
      <c r="AU95">
        <v>51</v>
      </c>
      <c r="AV95">
        <v>1</v>
      </c>
      <c r="AW95">
        <v>1</v>
      </c>
      <c r="AZ95">
        <v>1</v>
      </c>
      <c r="BA95">
        <v>28.93</v>
      </c>
      <c r="BB95">
        <v>1</v>
      </c>
      <c r="BC95">
        <v>1</v>
      </c>
      <c r="BD95" t="s">
        <v>3</v>
      </c>
      <c r="BE95" t="s">
        <v>3</v>
      </c>
      <c r="BF95" t="s">
        <v>3</v>
      </c>
      <c r="BG95" t="s">
        <v>3</v>
      </c>
      <c r="BH95">
        <v>0</v>
      </c>
      <c r="BI95">
        <v>2</v>
      </c>
      <c r="BJ95" t="s">
        <v>215</v>
      </c>
      <c r="BM95">
        <v>108001</v>
      </c>
      <c r="BN95">
        <v>0</v>
      </c>
      <c r="BO95" t="s">
        <v>3</v>
      </c>
      <c r="BP95">
        <v>0</v>
      </c>
      <c r="BQ95">
        <v>3</v>
      </c>
      <c r="BR95">
        <v>0</v>
      </c>
      <c r="BS95">
        <v>28.93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3</v>
      </c>
      <c r="BZ95">
        <v>97</v>
      </c>
      <c r="CA95">
        <v>51</v>
      </c>
      <c r="CB95" t="s">
        <v>3</v>
      </c>
      <c r="CE95">
        <v>0</v>
      </c>
      <c r="CF95">
        <v>0</v>
      </c>
      <c r="CG95">
        <v>0</v>
      </c>
      <c r="CM95">
        <v>0</v>
      </c>
      <c r="CN95" t="s">
        <v>3</v>
      </c>
      <c r="CO95">
        <v>0</v>
      </c>
      <c r="CP95">
        <f t="shared" si="89"/>
        <v>181.51999999999998</v>
      </c>
      <c r="CQ95">
        <f t="shared" si="90"/>
        <v>17.79</v>
      </c>
      <c r="CR95">
        <f t="shared" si="91"/>
        <v>0</v>
      </c>
      <c r="CS95">
        <f t="shared" si="92"/>
        <v>0</v>
      </c>
      <c r="CT95">
        <f t="shared" si="93"/>
        <v>4.9000000000000004</v>
      </c>
      <c r="CU95">
        <f t="shared" si="94"/>
        <v>0</v>
      </c>
      <c r="CV95">
        <f t="shared" si="95"/>
        <v>0.52439999999999998</v>
      </c>
      <c r="CW95">
        <f t="shared" si="96"/>
        <v>0</v>
      </c>
      <c r="CX95">
        <f t="shared" si="97"/>
        <v>0</v>
      </c>
      <c r="CY95">
        <f t="shared" si="98"/>
        <v>38.024000000000001</v>
      </c>
      <c r="CZ95">
        <f t="shared" si="99"/>
        <v>19.992000000000001</v>
      </c>
      <c r="DC95" t="s">
        <v>3</v>
      </c>
      <c r="DD95" t="s">
        <v>3</v>
      </c>
      <c r="DE95" t="s">
        <v>66</v>
      </c>
      <c r="DF95" t="s">
        <v>66</v>
      </c>
      <c r="DG95" t="s">
        <v>66</v>
      </c>
      <c r="DH95" t="s">
        <v>3</v>
      </c>
      <c r="DI95" t="s">
        <v>66</v>
      </c>
      <c r="DJ95" t="s">
        <v>66</v>
      </c>
      <c r="DK95" t="s">
        <v>3</v>
      </c>
      <c r="DL95" t="s">
        <v>3</v>
      </c>
      <c r="DM95" t="s">
        <v>3</v>
      </c>
      <c r="DN95">
        <v>0</v>
      </c>
      <c r="DO95">
        <v>0</v>
      </c>
      <c r="DP95">
        <v>1</v>
      </c>
      <c r="DQ95">
        <v>1</v>
      </c>
      <c r="DU95">
        <v>1013</v>
      </c>
      <c r="DV95" t="s">
        <v>214</v>
      </c>
      <c r="DW95" t="s">
        <v>214</v>
      </c>
      <c r="DX95">
        <v>1</v>
      </c>
      <c r="DZ95" t="s">
        <v>3</v>
      </c>
      <c r="EA95" t="s">
        <v>3</v>
      </c>
      <c r="EB95" t="s">
        <v>3</v>
      </c>
      <c r="EC95" t="s">
        <v>3</v>
      </c>
      <c r="EE95">
        <v>41328166</v>
      </c>
      <c r="EF95">
        <v>3</v>
      </c>
      <c r="EG95" t="s">
        <v>154</v>
      </c>
      <c r="EH95">
        <v>0</v>
      </c>
      <c r="EI95" t="s">
        <v>3</v>
      </c>
      <c r="EJ95">
        <v>2</v>
      </c>
      <c r="EK95">
        <v>108001</v>
      </c>
      <c r="EL95" t="s">
        <v>160</v>
      </c>
      <c r="EM95" t="s">
        <v>161</v>
      </c>
      <c r="EO95" t="s">
        <v>3</v>
      </c>
      <c r="EQ95">
        <v>131072</v>
      </c>
      <c r="ER95">
        <v>21.34</v>
      </c>
      <c r="ES95">
        <v>17.79</v>
      </c>
      <c r="ET95">
        <v>0</v>
      </c>
      <c r="EU95">
        <v>0</v>
      </c>
      <c r="EV95">
        <v>3.55</v>
      </c>
      <c r="EW95">
        <v>0.38</v>
      </c>
      <c r="EX95">
        <v>0</v>
      </c>
      <c r="EY95">
        <v>0</v>
      </c>
      <c r="FQ95">
        <v>0</v>
      </c>
      <c r="FR95">
        <f t="shared" si="100"/>
        <v>0</v>
      </c>
      <c r="FS95">
        <v>0</v>
      </c>
      <c r="FX95">
        <v>97</v>
      </c>
      <c r="FY95">
        <v>51</v>
      </c>
      <c r="GA95" t="s">
        <v>3</v>
      </c>
      <c r="GD95">
        <v>1</v>
      </c>
      <c r="GF95">
        <v>1974490713</v>
      </c>
      <c r="GG95">
        <v>2</v>
      </c>
      <c r="GH95">
        <v>1</v>
      </c>
      <c r="GI95">
        <v>4</v>
      </c>
      <c r="GJ95">
        <v>0</v>
      </c>
      <c r="GK95">
        <v>0</v>
      </c>
      <c r="GL95">
        <f t="shared" si="101"/>
        <v>0</v>
      </c>
      <c r="GM95">
        <f t="shared" si="102"/>
        <v>239.53</v>
      </c>
      <c r="GN95">
        <f t="shared" si="103"/>
        <v>0</v>
      </c>
      <c r="GO95">
        <f t="shared" si="104"/>
        <v>239.53</v>
      </c>
      <c r="GP95">
        <f t="shared" si="105"/>
        <v>0</v>
      </c>
      <c r="GR95">
        <v>0</v>
      </c>
      <c r="GS95">
        <v>3</v>
      </c>
      <c r="GT95">
        <v>0</v>
      </c>
      <c r="GU95" t="s">
        <v>3</v>
      </c>
      <c r="GV95">
        <f t="shared" si="106"/>
        <v>0</v>
      </c>
      <c r="GW95">
        <v>1</v>
      </c>
      <c r="GX95">
        <f t="shared" si="107"/>
        <v>0</v>
      </c>
      <c r="HA95">
        <v>0</v>
      </c>
      <c r="HB95">
        <v>0</v>
      </c>
      <c r="HC95">
        <f t="shared" si="108"/>
        <v>0</v>
      </c>
      <c r="HE95" t="s">
        <v>3</v>
      </c>
      <c r="HF95" t="s">
        <v>3</v>
      </c>
      <c r="HI95">
        <f t="shared" si="109"/>
        <v>0</v>
      </c>
      <c r="HJ95">
        <f t="shared" si="110"/>
        <v>1134.06</v>
      </c>
      <c r="HK95">
        <f t="shared" si="111"/>
        <v>1100.04</v>
      </c>
      <c r="HL95">
        <f t="shared" si="112"/>
        <v>578.37</v>
      </c>
      <c r="HM95" t="s">
        <v>3</v>
      </c>
      <c r="HN95" t="s">
        <v>162</v>
      </c>
      <c r="HO95" t="s">
        <v>163</v>
      </c>
      <c r="HP95" t="s">
        <v>160</v>
      </c>
      <c r="HQ95" t="s">
        <v>160</v>
      </c>
      <c r="IK95">
        <v>0</v>
      </c>
    </row>
    <row r="96" spans="1:245">
      <c r="A96">
        <v>18</v>
      </c>
      <c r="B96">
        <v>1</v>
      </c>
      <c r="C96">
        <v>118</v>
      </c>
      <c r="E96" t="s">
        <v>216</v>
      </c>
      <c r="F96" t="s">
        <v>217</v>
      </c>
      <c r="G96" t="s">
        <v>218</v>
      </c>
      <c r="H96" t="s">
        <v>219</v>
      </c>
      <c r="I96">
        <f>I95*J96</f>
        <v>-5.76</v>
      </c>
      <c r="J96">
        <v>-0.72</v>
      </c>
      <c r="K96">
        <v>-0.72</v>
      </c>
      <c r="O96">
        <f t="shared" si="72"/>
        <v>-114.85</v>
      </c>
      <c r="P96">
        <f t="shared" si="73"/>
        <v>-114.85</v>
      </c>
      <c r="Q96">
        <f t="shared" si="74"/>
        <v>0</v>
      </c>
      <c r="R96">
        <f t="shared" si="75"/>
        <v>0</v>
      </c>
      <c r="S96">
        <f t="shared" si="76"/>
        <v>0</v>
      </c>
      <c r="T96">
        <f t="shared" si="77"/>
        <v>0</v>
      </c>
      <c r="U96">
        <f t="shared" si="78"/>
        <v>0</v>
      </c>
      <c r="V96">
        <f t="shared" si="79"/>
        <v>0</v>
      </c>
      <c r="W96">
        <f t="shared" si="80"/>
        <v>0</v>
      </c>
      <c r="X96">
        <f t="shared" si="81"/>
        <v>0</v>
      </c>
      <c r="Y96">
        <f t="shared" si="82"/>
        <v>0</v>
      </c>
      <c r="AA96">
        <v>47920234</v>
      </c>
      <c r="AB96">
        <f t="shared" si="83"/>
        <v>19.940000000000001</v>
      </c>
      <c r="AC96">
        <f t="shared" si="84"/>
        <v>19.940000000000001</v>
      </c>
      <c r="AD96">
        <f>ROUND((((ET96)-(EU96))+AE96),2)</f>
        <v>0</v>
      </c>
      <c r="AE96">
        <f>ROUND((EU96),2)</f>
        <v>0</v>
      </c>
      <c r="AF96">
        <f>ROUND((EV96),2)</f>
        <v>0</v>
      </c>
      <c r="AG96">
        <f t="shared" si="86"/>
        <v>0</v>
      </c>
      <c r="AH96">
        <f>(EW96)</f>
        <v>0</v>
      </c>
      <c r="AI96">
        <f>(EX96)</f>
        <v>0</v>
      </c>
      <c r="AJ96">
        <f t="shared" si="88"/>
        <v>0</v>
      </c>
      <c r="AK96">
        <v>19.940000000000001</v>
      </c>
      <c r="AL96">
        <v>19.940000000000001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1</v>
      </c>
      <c r="AW96">
        <v>1</v>
      </c>
      <c r="AZ96">
        <v>1</v>
      </c>
      <c r="BA96">
        <v>1</v>
      </c>
      <c r="BB96">
        <v>1</v>
      </c>
      <c r="BC96">
        <v>1</v>
      </c>
      <c r="BD96" t="s">
        <v>3</v>
      </c>
      <c r="BE96" t="s">
        <v>3</v>
      </c>
      <c r="BF96" t="s">
        <v>3</v>
      </c>
      <c r="BG96" t="s">
        <v>3</v>
      </c>
      <c r="BH96">
        <v>3</v>
      </c>
      <c r="BI96">
        <v>2</v>
      </c>
      <c r="BJ96" t="s">
        <v>220</v>
      </c>
      <c r="BM96">
        <v>500002</v>
      </c>
      <c r="BN96">
        <v>0</v>
      </c>
      <c r="BO96" t="s">
        <v>3</v>
      </c>
      <c r="BP96">
        <v>0</v>
      </c>
      <c r="BQ96">
        <v>12</v>
      </c>
      <c r="BR96">
        <v>1</v>
      </c>
      <c r="BS96">
        <v>1</v>
      </c>
      <c r="BT96">
        <v>1</v>
      </c>
      <c r="BU96">
        <v>1</v>
      </c>
      <c r="BV96">
        <v>1</v>
      </c>
      <c r="BW96">
        <v>1</v>
      </c>
      <c r="BX96">
        <v>1</v>
      </c>
      <c r="BY96" t="s">
        <v>3</v>
      </c>
      <c r="BZ96">
        <v>0</v>
      </c>
      <c r="CA96">
        <v>0</v>
      </c>
      <c r="CB96" t="s">
        <v>3</v>
      </c>
      <c r="CE96">
        <v>0</v>
      </c>
      <c r="CF96">
        <v>0</v>
      </c>
      <c r="CG96">
        <v>0</v>
      </c>
      <c r="CM96">
        <v>0</v>
      </c>
      <c r="CN96" t="s">
        <v>3</v>
      </c>
      <c r="CO96">
        <v>0</v>
      </c>
      <c r="CP96">
        <f t="shared" si="89"/>
        <v>-114.85</v>
      </c>
      <c r="CQ96">
        <f t="shared" si="90"/>
        <v>19.940000000000001</v>
      </c>
      <c r="CR96">
        <f t="shared" si="91"/>
        <v>0</v>
      </c>
      <c r="CS96">
        <f t="shared" si="92"/>
        <v>0</v>
      </c>
      <c r="CT96">
        <f t="shared" si="93"/>
        <v>0</v>
      </c>
      <c r="CU96">
        <f t="shared" si="94"/>
        <v>0</v>
      </c>
      <c r="CV96">
        <f t="shared" si="95"/>
        <v>0</v>
      </c>
      <c r="CW96">
        <f t="shared" si="96"/>
        <v>0</v>
      </c>
      <c r="CX96">
        <f t="shared" si="97"/>
        <v>0</v>
      </c>
      <c r="CY96">
        <f t="shared" si="98"/>
        <v>0</v>
      </c>
      <c r="CZ96">
        <f t="shared" si="99"/>
        <v>0</v>
      </c>
      <c r="DC96" t="s">
        <v>3</v>
      </c>
      <c r="DD96" t="s">
        <v>3</v>
      </c>
      <c r="DE96" t="s">
        <v>3</v>
      </c>
      <c r="DF96" t="s">
        <v>3</v>
      </c>
      <c r="DG96" t="s">
        <v>3</v>
      </c>
      <c r="DH96" t="s">
        <v>3</v>
      </c>
      <c r="DI96" t="s">
        <v>3</v>
      </c>
      <c r="DJ96" t="s">
        <v>3</v>
      </c>
      <c r="DK96" t="s">
        <v>3</v>
      </c>
      <c r="DL96" t="s">
        <v>3</v>
      </c>
      <c r="DM96" t="s">
        <v>3</v>
      </c>
      <c r="DN96">
        <v>0</v>
      </c>
      <c r="DO96">
        <v>0</v>
      </c>
      <c r="DP96">
        <v>1</v>
      </c>
      <c r="DQ96">
        <v>1</v>
      </c>
      <c r="DU96">
        <v>1009</v>
      </c>
      <c r="DV96" t="s">
        <v>219</v>
      </c>
      <c r="DW96" t="s">
        <v>219</v>
      </c>
      <c r="DX96">
        <v>1</v>
      </c>
      <c r="DZ96" t="s">
        <v>3</v>
      </c>
      <c r="EA96" t="s">
        <v>3</v>
      </c>
      <c r="EB96" t="s">
        <v>3</v>
      </c>
      <c r="EC96" t="s">
        <v>3</v>
      </c>
      <c r="EE96">
        <v>41328222</v>
      </c>
      <c r="EF96">
        <v>12</v>
      </c>
      <c r="EG96" t="s">
        <v>221</v>
      </c>
      <c r="EH96">
        <v>0</v>
      </c>
      <c r="EI96" t="s">
        <v>3</v>
      </c>
      <c r="EJ96">
        <v>2</v>
      </c>
      <c r="EK96">
        <v>500002</v>
      </c>
      <c r="EL96" t="s">
        <v>222</v>
      </c>
      <c r="EM96" t="s">
        <v>223</v>
      </c>
      <c r="EO96" t="s">
        <v>3</v>
      </c>
      <c r="EQ96">
        <v>0</v>
      </c>
      <c r="ER96">
        <v>19.940000000000001</v>
      </c>
      <c r="ES96">
        <v>19.940000000000001</v>
      </c>
      <c r="ET96">
        <v>0</v>
      </c>
      <c r="EU96">
        <v>0</v>
      </c>
      <c r="EV96">
        <v>0</v>
      </c>
      <c r="EW96">
        <v>0</v>
      </c>
      <c r="EX96">
        <v>0</v>
      </c>
      <c r="FQ96">
        <v>0</v>
      </c>
      <c r="FR96">
        <f t="shared" si="100"/>
        <v>0</v>
      </c>
      <c r="FS96">
        <v>0</v>
      </c>
      <c r="FX96">
        <v>0</v>
      </c>
      <c r="FY96">
        <v>0</v>
      </c>
      <c r="GA96" t="s">
        <v>3</v>
      </c>
      <c r="GD96">
        <v>1</v>
      </c>
      <c r="GF96">
        <v>-1780330431</v>
      </c>
      <c r="GG96">
        <v>2</v>
      </c>
      <c r="GH96">
        <v>1</v>
      </c>
      <c r="GI96">
        <v>4</v>
      </c>
      <c r="GJ96">
        <v>0</v>
      </c>
      <c r="GK96">
        <v>0</v>
      </c>
      <c r="GL96">
        <f t="shared" si="101"/>
        <v>0</v>
      </c>
      <c r="GM96">
        <f t="shared" si="102"/>
        <v>-114.85</v>
      </c>
      <c r="GN96">
        <f t="shared" si="103"/>
        <v>0</v>
      </c>
      <c r="GO96">
        <f t="shared" si="104"/>
        <v>-114.85</v>
      </c>
      <c r="GP96">
        <f t="shared" si="105"/>
        <v>0</v>
      </c>
      <c r="GR96">
        <v>0</v>
      </c>
      <c r="GS96">
        <v>3</v>
      </c>
      <c r="GT96">
        <v>0</v>
      </c>
      <c r="GU96" t="s">
        <v>3</v>
      </c>
      <c r="GV96">
        <f t="shared" si="106"/>
        <v>0</v>
      </c>
      <c r="GW96">
        <v>1</v>
      </c>
      <c r="GX96">
        <f t="shared" si="107"/>
        <v>0</v>
      </c>
      <c r="HA96">
        <v>0</v>
      </c>
      <c r="HB96">
        <v>0</v>
      </c>
      <c r="HC96">
        <f t="shared" si="108"/>
        <v>0</v>
      </c>
      <c r="HE96" t="s">
        <v>3</v>
      </c>
      <c r="HF96" t="s">
        <v>3</v>
      </c>
      <c r="HI96">
        <f t="shared" si="109"/>
        <v>0</v>
      </c>
      <c r="HJ96">
        <f t="shared" si="110"/>
        <v>0</v>
      </c>
      <c r="HK96">
        <f t="shared" si="111"/>
        <v>0</v>
      </c>
      <c r="HL96">
        <f t="shared" si="112"/>
        <v>0</v>
      </c>
      <c r="HM96" t="s">
        <v>3</v>
      </c>
      <c r="HN96" t="s">
        <v>3</v>
      </c>
      <c r="HO96" t="s">
        <v>3</v>
      </c>
      <c r="HP96" t="s">
        <v>3</v>
      </c>
      <c r="HQ96" t="s">
        <v>3</v>
      </c>
      <c r="IK96">
        <v>0</v>
      </c>
    </row>
    <row r="97" spans="1:245">
      <c r="A97">
        <v>17</v>
      </c>
      <c r="B97">
        <v>1</v>
      </c>
      <c r="C97">
        <f>ROW(SmtRes!A131)</f>
        <v>131</v>
      </c>
      <c r="D97">
        <f>ROW(EtalonRes!A131)</f>
        <v>131</v>
      </c>
      <c r="E97" t="s">
        <v>224</v>
      </c>
      <c r="F97" t="s">
        <v>225</v>
      </c>
      <c r="G97" t="s">
        <v>226</v>
      </c>
      <c r="H97" t="s">
        <v>200</v>
      </c>
      <c r="I97">
        <v>6</v>
      </c>
      <c r="J97">
        <v>0</v>
      </c>
      <c r="K97">
        <v>6</v>
      </c>
      <c r="O97">
        <f t="shared" si="72"/>
        <v>128.22</v>
      </c>
      <c r="P97">
        <f t="shared" si="73"/>
        <v>21.42</v>
      </c>
      <c r="Q97">
        <f t="shared" si="74"/>
        <v>2.2799999999999998</v>
      </c>
      <c r="R97">
        <f t="shared" si="75"/>
        <v>0</v>
      </c>
      <c r="S97">
        <f t="shared" si="76"/>
        <v>104.52</v>
      </c>
      <c r="T97">
        <f t="shared" si="77"/>
        <v>0</v>
      </c>
      <c r="U97">
        <f t="shared" si="78"/>
        <v>9.963000000000001</v>
      </c>
      <c r="V97">
        <f t="shared" si="79"/>
        <v>0</v>
      </c>
      <c r="W97">
        <f t="shared" si="80"/>
        <v>0</v>
      </c>
      <c r="X97">
        <f t="shared" si="81"/>
        <v>101.38</v>
      </c>
      <c r="Y97">
        <f t="shared" si="82"/>
        <v>53.31</v>
      </c>
      <c r="AA97">
        <v>47920234</v>
      </c>
      <c r="AB97">
        <f t="shared" si="83"/>
        <v>21.37</v>
      </c>
      <c r="AC97">
        <f t="shared" si="84"/>
        <v>3.57</v>
      </c>
      <c r="AD97">
        <f>ROUND(((((ET97*ROUND(1.35,7)))-((EU97*ROUND(1.35,7))))+AE97),2)</f>
        <v>0.38</v>
      </c>
      <c r="AE97">
        <f>ROUND(((EU97*ROUND(1.35,7))),2)</f>
        <v>0</v>
      </c>
      <c r="AF97">
        <f>ROUND(((EV97*ROUND(1.35,7))),2)</f>
        <v>17.420000000000002</v>
      </c>
      <c r="AG97">
        <f t="shared" si="86"/>
        <v>0</v>
      </c>
      <c r="AH97">
        <f>((EW97*ROUND(1.35,7)))</f>
        <v>1.6605000000000001</v>
      </c>
      <c r="AI97">
        <f>((EX97*ROUND(1.35,7)))</f>
        <v>0</v>
      </c>
      <c r="AJ97">
        <f t="shared" si="88"/>
        <v>0</v>
      </c>
      <c r="AK97">
        <v>16.75</v>
      </c>
      <c r="AL97">
        <v>3.57</v>
      </c>
      <c r="AM97">
        <v>0.28000000000000003</v>
      </c>
      <c r="AN97">
        <v>0</v>
      </c>
      <c r="AO97">
        <v>12.9</v>
      </c>
      <c r="AP97">
        <v>0</v>
      </c>
      <c r="AQ97">
        <v>1.23</v>
      </c>
      <c r="AR97">
        <v>0</v>
      </c>
      <c r="AS97">
        <v>0</v>
      </c>
      <c r="AT97">
        <v>97</v>
      </c>
      <c r="AU97">
        <v>51</v>
      </c>
      <c r="AV97">
        <v>1</v>
      </c>
      <c r="AW97">
        <v>1</v>
      </c>
      <c r="AZ97">
        <v>1</v>
      </c>
      <c r="BA97">
        <v>28.93</v>
      </c>
      <c r="BB97">
        <v>1</v>
      </c>
      <c r="BC97">
        <v>1</v>
      </c>
      <c r="BD97" t="s">
        <v>3</v>
      </c>
      <c r="BE97" t="s">
        <v>3</v>
      </c>
      <c r="BF97" t="s">
        <v>3</v>
      </c>
      <c r="BG97" t="s">
        <v>3</v>
      </c>
      <c r="BH97">
        <v>0</v>
      </c>
      <c r="BI97">
        <v>2</v>
      </c>
      <c r="BJ97" t="s">
        <v>227</v>
      </c>
      <c r="BM97">
        <v>108001</v>
      </c>
      <c r="BN97">
        <v>0</v>
      </c>
      <c r="BO97" t="s">
        <v>3</v>
      </c>
      <c r="BP97">
        <v>0</v>
      </c>
      <c r="BQ97">
        <v>3</v>
      </c>
      <c r="BR97">
        <v>0</v>
      </c>
      <c r="BS97">
        <v>28.93</v>
      </c>
      <c r="BT97">
        <v>1</v>
      </c>
      <c r="BU97">
        <v>1</v>
      </c>
      <c r="BV97">
        <v>1</v>
      </c>
      <c r="BW97">
        <v>1</v>
      </c>
      <c r="BX97">
        <v>1</v>
      </c>
      <c r="BY97" t="s">
        <v>3</v>
      </c>
      <c r="BZ97">
        <v>97</v>
      </c>
      <c r="CA97">
        <v>51</v>
      </c>
      <c r="CB97" t="s">
        <v>3</v>
      </c>
      <c r="CE97">
        <v>0</v>
      </c>
      <c r="CF97">
        <v>0</v>
      </c>
      <c r="CG97">
        <v>0</v>
      </c>
      <c r="CM97">
        <v>0</v>
      </c>
      <c r="CN97" t="s">
        <v>3</v>
      </c>
      <c r="CO97">
        <v>0</v>
      </c>
      <c r="CP97">
        <f t="shared" si="89"/>
        <v>128.22</v>
      </c>
      <c r="CQ97">
        <f t="shared" si="90"/>
        <v>3.57</v>
      </c>
      <c r="CR97">
        <f t="shared" si="91"/>
        <v>0.38</v>
      </c>
      <c r="CS97">
        <f t="shared" si="92"/>
        <v>0</v>
      </c>
      <c r="CT97">
        <f t="shared" si="93"/>
        <v>17.420000000000002</v>
      </c>
      <c r="CU97">
        <f t="shared" si="94"/>
        <v>0</v>
      </c>
      <c r="CV97">
        <f t="shared" si="95"/>
        <v>1.6605000000000001</v>
      </c>
      <c r="CW97">
        <f t="shared" si="96"/>
        <v>0</v>
      </c>
      <c r="CX97">
        <f t="shared" si="97"/>
        <v>0</v>
      </c>
      <c r="CY97">
        <f t="shared" si="98"/>
        <v>101.3844</v>
      </c>
      <c r="CZ97">
        <f t="shared" si="99"/>
        <v>53.305199999999992</v>
      </c>
      <c r="DC97" t="s">
        <v>3</v>
      </c>
      <c r="DD97" t="s">
        <v>3</v>
      </c>
      <c r="DE97" t="s">
        <v>188</v>
      </c>
      <c r="DF97" t="s">
        <v>188</v>
      </c>
      <c r="DG97" t="s">
        <v>188</v>
      </c>
      <c r="DH97" t="s">
        <v>3</v>
      </c>
      <c r="DI97" t="s">
        <v>188</v>
      </c>
      <c r="DJ97" t="s">
        <v>188</v>
      </c>
      <c r="DK97" t="s">
        <v>3</v>
      </c>
      <c r="DL97" t="s">
        <v>3</v>
      </c>
      <c r="DM97" t="s">
        <v>3</v>
      </c>
      <c r="DN97">
        <v>0</v>
      </c>
      <c r="DO97">
        <v>0</v>
      </c>
      <c r="DP97">
        <v>1</v>
      </c>
      <c r="DQ97">
        <v>1</v>
      </c>
      <c r="DU97">
        <v>1013</v>
      </c>
      <c r="DV97" t="s">
        <v>200</v>
      </c>
      <c r="DW97" t="s">
        <v>200</v>
      </c>
      <c r="DX97">
        <v>1</v>
      </c>
      <c r="DZ97" t="s">
        <v>3</v>
      </c>
      <c r="EA97" t="s">
        <v>3</v>
      </c>
      <c r="EB97" t="s">
        <v>3</v>
      </c>
      <c r="EC97" t="s">
        <v>3</v>
      </c>
      <c r="EE97">
        <v>41328166</v>
      </c>
      <c r="EF97">
        <v>3</v>
      </c>
      <c r="EG97" t="s">
        <v>154</v>
      </c>
      <c r="EH97">
        <v>0</v>
      </c>
      <c r="EI97" t="s">
        <v>3</v>
      </c>
      <c r="EJ97">
        <v>2</v>
      </c>
      <c r="EK97">
        <v>108001</v>
      </c>
      <c r="EL97" t="s">
        <v>160</v>
      </c>
      <c r="EM97" t="s">
        <v>161</v>
      </c>
      <c r="EO97" t="s">
        <v>3</v>
      </c>
      <c r="EQ97">
        <v>131072</v>
      </c>
      <c r="ER97">
        <v>16.75</v>
      </c>
      <c r="ES97">
        <v>3.57</v>
      </c>
      <c r="ET97">
        <v>0.28000000000000003</v>
      </c>
      <c r="EU97">
        <v>0</v>
      </c>
      <c r="EV97">
        <v>12.9</v>
      </c>
      <c r="EW97">
        <v>1.23</v>
      </c>
      <c r="EX97">
        <v>0</v>
      </c>
      <c r="EY97">
        <v>0</v>
      </c>
      <c r="FQ97">
        <v>0</v>
      </c>
      <c r="FR97">
        <f t="shared" si="100"/>
        <v>0</v>
      </c>
      <c r="FS97">
        <v>0</v>
      </c>
      <c r="FX97">
        <v>97</v>
      </c>
      <c r="FY97">
        <v>51</v>
      </c>
      <c r="GA97" t="s">
        <v>3</v>
      </c>
      <c r="GD97">
        <v>1</v>
      </c>
      <c r="GF97">
        <v>808123664</v>
      </c>
      <c r="GG97">
        <v>2</v>
      </c>
      <c r="GH97">
        <v>1</v>
      </c>
      <c r="GI97">
        <v>4</v>
      </c>
      <c r="GJ97">
        <v>0</v>
      </c>
      <c r="GK97">
        <v>0</v>
      </c>
      <c r="GL97">
        <f t="shared" si="101"/>
        <v>0</v>
      </c>
      <c r="GM97">
        <f t="shared" si="102"/>
        <v>282.91000000000003</v>
      </c>
      <c r="GN97">
        <f t="shared" si="103"/>
        <v>0</v>
      </c>
      <c r="GO97">
        <f t="shared" si="104"/>
        <v>282.91000000000003</v>
      </c>
      <c r="GP97">
        <f t="shared" si="105"/>
        <v>0</v>
      </c>
      <c r="GR97">
        <v>0</v>
      </c>
      <c r="GS97">
        <v>3</v>
      </c>
      <c r="GT97">
        <v>0</v>
      </c>
      <c r="GU97" t="s">
        <v>3</v>
      </c>
      <c r="GV97">
        <f t="shared" si="106"/>
        <v>0</v>
      </c>
      <c r="GW97">
        <v>1</v>
      </c>
      <c r="GX97">
        <f t="shared" si="107"/>
        <v>0</v>
      </c>
      <c r="HA97">
        <v>0</v>
      </c>
      <c r="HB97">
        <v>0</v>
      </c>
      <c r="HC97">
        <f t="shared" si="108"/>
        <v>0</v>
      </c>
      <c r="HE97" t="s">
        <v>3</v>
      </c>
      <c r="HF97" t="s">
        <v>3</v>
      </c>
      <c r="HI97">
        <f t="shared" si="109"/>
        <v>0</v>
      </c>
      <c r="HJ97">
        <f t="shared" si="110"/>
        <v>3023.76</v>
      </c>
      <c r="HK97">
        <f t="shared" si="111"/>
        <v>2933.05</v>
      </c>
      <c r="HL97">
        <f t="shared" si="112"/>
        <v>1542.12</v>
      </c>
      <c r="HM97" t="s">
        <v>3</v>
      </c>
      <c r="HN97" t="s">
        <v>162</v>
      </c>
      <c r="HO97" t="s">
        <v>163</v>
      </c>
      <c r="HP97" t="s">
        <v>160</v>
      </c>
      <c r="HQ97" t="s">
        <v>160</v>
      </c>
      <c r="IK97">
        <v>0</v>
      </c>
    </row>
    <row r="99" spans="1:245">
      <c r="A99" s="2">
        <v>51</v>
      </c>
      <c r="B99" s="2">
        <f>B79</f>
        <v>1</v>
      </c>
      <c r="C99" s="2">
        <f>A79</f>
        <v>4</v>
      </c>
      <c r="D99" s="2">
        <f>ROW(A79)</f>
        <v>79</v>
      </c>
      <c r="E99" s="2"/>
      <c r="F99" s="2" t="str">
        <f>IF(F79&lt;&gt;"",F79,"")</f>
        <v>Новый раздел</v>
      </c>
      <c r="G99" s="2" t="str">
        <f>IF(G79&lt;&gt;"",G79,"")</f>
        <v>Монтажные работы</v>
      </c>
      <c r="H99" s="2">
        <v>0</v>
      </c>
      <c r="I99" s="2"/>
      <c r="J99" s="2"/>
      <c r="K99" s="2"/>
      <c r="L99" s="2"/>
      <c r="M99" s="2"/>
      <c r="N99" s="2"/>
      <c r="O99" s="2">
        <f t="shared" ref="O99:T99" si="115">ROUND(AB99,2)</f>
        <v>16929.14</v>
      </c>
      <c r="P99" s="2">
        <f t="shared" si="115"/>
        <v>1080.3</v>
      </c>
      <c r="Q99" s="2">
        <f t="shared" si="115"/>
        <v>11381.18</v>
      </c>
      <c r="R99" s="2">
        <f t="shared" si="115"/>
        <v>533.16</v>
      </c>
      <c r="S99" s="2">
        <f t="shared" si="115"/>
        <v>4467.66</v>
      </c>
      <c r="T99" s="2">
        <f t="shared" si="115"/>
        <v>0</v>
      </c>
      <c r="U99" s="2">
        <f>AH99</f>
        <v>476.62151999999998</v>
      </c>
      <c r="V99" s="2">
        <f>AI99</f>
        <v>61.207506000000002</v>
      </c>
      <c r="W99" s="2">
        <f>ROUND(AJ99,2)</f>
        <v>0</v>
      </c>
      <c r="X99" s="2">
        <f>ROUND(AK99,2)</f>
        <v>4850.78</v>
      </c>
      <c r="Y99" s="2">
        <f>ROUND(AL99,2)</f>
        <v>2550.42</v>
      </c>
      <c r="Z99" s="2"/>
      <c r="AA99" s="2"/>
      <c r="AB99" s="2">
        <f>ROUND(SUMIF(AA83:AA97,"=47920234",O83:O97),2)</f>
        <v>16929.14</v>
      </c>
      <c r="AC99" s="2">
        <f>ROUND(SUMIF(AA83:AA97,"=47920234",P83:P97),2)</f>
        <v>1080.3</v>
      </c>
      <c r="AD99" s="2">
        <f>ROUND(SUMIF(AA83:AA97,"=47920234",Q83:Q97),2)</f>
        <v>11381.18</v>
      </c>
      <c r="AE99" s="2">
        <f>ROUND(SUMIF(AA83:AA97,"=47920234",R83:R97),2)</f>
        <v>533.16</v>
      </c>
      <c r="AF99" s="2">
        <f>ROUND(SUMIF(AA83:AA97,"=47920234",S83:S97),2)</f>
        <v>4467.66</v>
      </c>
      <c r="AG99" s="2">
        <f>ROUND(SUMIF(AA83:AA97,"=47920234",T83:T97),2)</f>
        <v>0</v>
      </c>
      <c r="AH99" s="2">
        <f>SUMIF(AA83:AA97,"=47920234",U83:U97)</f>
        <v>476.62151999999998</v>
      </c>
      <c r="AI99" s="2">
        <f>SUMIF(AA83:AA97,"=47920234",V83:V97)</f>
        <v>61.207506000000002</v>
      </c>
      <c r="AJ99" s="2">
        <f>ROUND(SUMIF(AA83:AA97,"=47920234",W83:W97),2)</f>
        <v>0</v>
      </c>
      <c r="AK99" s="2">
        <f>ROUND(SUMIF(AA83:AA97,"=47920234",X83:X97),2)</f>
        <v>4850.78</v>
      </c>
      <c r="AL99" s="2">
        <f>ROUND(SUMIF(AA83:AA97,"=47920234",Y83:Y97),2)</f>
        <v>2550.42</v>
      </c>
      <c r="AM99" s="2"/>
      <c r="AN99" s="2"/>
      <c r="AO99" s="2">
        <f t="shared" ref="AO99:BD99" si="116">ROUND(BX99,2)</f>
        <v>0</v>
      </c>
      <c r="AP99" s="2">
        <f t="shared" si="116"/>
        <v>0</v>
      </c>
      <c r="AQ99" s="2">
        <f t="shared" si="116"/>
        <v>0</v>
      </c>
      <c r="AR99" s="2">
        <f t="shared" si="116"/>
        <v>24330.34</v>
      </c>
      <c r="AS99" s="2">
        <f t="shared" si="116"/>
        <v>0</v>
      </c>
      <c r="AT99" s="2">
        <f t="shared" si="116"/>
        <v>24330.34</v>
      </c>
      <c r="AU99" s="2">
        <f t="shared" si="116"/>
        <v>0</v>
      </c>
      <c r="AV99" s="2">
        <f t="shared" si="116"/>
        <v>1080.3</v>
      </c>
      <c r="AW99" s="2">
        <f t="shared" si="116"/>
        <v>1080.3</v>
      </c>
      <c r="AX99" s="2">
        <f t="shared" si="116"/>
        <v>0</v>
      </c>
      <c r="AY99" s="2">
        <f t="shared" si="116"/>
        <v>1080.3</v>
      </c>
      <c r="AZ99" s="2">
        <f t="shared" si="116"/>
        <v>0</v>
      </c>
      <c r="BA99" s="2">
        <f t="shared" si="116"/>
        <v>0</v>
      </c>
      <c r="BB99" s="2">
        <f t="shared" si="116"/>
        <v>0</v>
      </c>
      <c r="BC99" s="2">
        <f t="shared" si="116"/>
        <v>0</v>
      </c>
      <c r="BD99" s="2">
        <f t="shared" si="116"/>
        <v>0</v>
      </c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>
        <f>ROUND(SUMIF(AA83:AA97,"=47920234",FQ83:FQ97),2)</f>
        <v>0</v>
      </c>
      <c r="BY99" s="2">
        <f>ROUND(SUMIF(AA83:AA97,"=47920234",FR83:FR97),2)</f>
        <v>0</v>
      </c>
      <c r="BZ99" s="2">
        <f>ROUND(SUMIF(AA83:AA97,"=47920234",GL83:GL97),2)</f>
        <v>0</v>
      </c>
      <c r="CA99" s="2">
        <f>ROUND(SUMIF(AA83:AA97,"=47920234",GM83:GM97),2)</f>
        <v>24330.34</v>
      </c>
      <c r="CB99" s="2">
        <f>ROUND(SUMIF(AA83:AA97,"=47920234",GN83:GN97),2)</f>
        <v>0</v>
      </c>
      <c r="CC99" s="2">
        <f>ROUND(SUMIF(AA83:AA97,"=47920234",GO83:GO97),2)</f>
        <v>24330.34</v>
      </c>
      <c r="CD99" s="2">
        <f>ROUND(SUMIF(AA83:AA97,"=47920234",GP83:GP97),2)</f>
        <v>0</v>
      </c>
      <c r="CE99" s="2">
        <f>AC99-BX99</f>
        <v>1080.3</v>
      </c>
      <c r="CF99" s="2">
        <f>AC99-BY99</f>
        <v>1080.3</v>
      </c>
      <c r="CG99" s="2">
        <f>BX99-BZ99</f>
        <v>0</v>
      </c>
      <c r="CH99" s="2">
        <f>AC99-BX99-BY99+BZ99</f>
        <v>1080.3</v>
      </c>
      <c r="CI99" s="2">
        <f>BY99-BZ99</f>
        <v>0</v>
      </c>
      <c r="CJ99" s="2">
        <f>ROUND(SUMIF(AA83:AA97,"=47920234",GX83:GX97),2)</f>
        <v>0</v>
      </c>
      <c r="CK99" s="2">
        <f>ROUND(SUMIF(AA83:AA97,"=47920234",GY83:GY97),2)</f>
        <v>0</v>
      </c>
      <c r="CL99" s="2">
        <f>ROUND(SUMIF(AA83:AA97,"=47920234",GZ83:GZ97),2)</f>
        <v>0</v>
      </c>
      <c r="CM99" s="2">
        <f>ROUND(SUMIF(AA83:AA97,"=47920234",HD83:HD97),2)</f>
        <v>0</v>
      </c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>
        <v>0</v>
      </c>
    </row>
    <row r="101" spans="1:245">
      <c r="A101" s="4">
        <v>50</v>
      </c>
      <c r="B101" s="4">
        <v>0</v>
      </c>
      <c r="C101" s="4">
        <v>0</v>
      </c>
      <c r="D101" s="4">
        <v>1</v>
      </c>
      <c r="E101" s="4">
        <v>0</v>
      </c>
      <c r="F101" s="4">
        <f>ROUND(Source!O99,O101)</f>
        <v>16929.14</v>
      </c>
      <c r="G101" s="4" t="s">
        <v>84</v>
      </c>
      <c r="H101" s="4" t="s">
        <v>85</v>
      </c>
      <c r="I101" s="4"/>
      <c r="J101" s="4"/>
      <c r="K101" s="4">
        <v>201</v>
      </c>
      <c r="L101" s="4">
        <v>1</v>
      </c>
      <c r="M101" s="4">
        <v>3</v>
      </c>
      <c r="N101" s="4" t="s">
        <v>3</v>
      </c>
      <c r="O101" s="4">
        <v>2</v>
      </c>
      <c r="P101" s="4"/>
      <c r="Q101" s="4"/>
      <c r="R101" s="4"/>
      <c r="S101" s="4"/>
      <c r="T101" s="4"/>
      <c r="U101" s="4"/>
      <c r="V101" s="4"/>
      <c r="W101" s="4">
        <v>16929.14</v>
      </c>
      <c r="X101" s="4">
        <v>1</v>
      </c>
      <c r="Y101" s="4">
        <v>222675.65999999997</v>
      </c>
      <c r="Z101" s="4"/>
      <c r="AA101" s="4"/>
      <c r="AB101" s="4"/>
    </row>
    <row r="102" spans="1:245">
      <c r="A102" s="4">
        <v>50</v>
      </c>
      <c r="B102" s="4">
        <v>0</v>
      </c>
      <c r="C102" s="4">
        <v>0</v>
      </c>
      <c r="D102" s="4">
        <v>1</v>
      </c>
      <c r="E102" s="4">
        <v>202</v>
      </c>
      <c r="F102" s="4">
        <f>ROUND(Source!P99,O102)</f>
        <v>1080.3</v>
      </c>
      <c r="G102" s="4" t="s">
        <v>86</v>
      </c>
      <c r="H102" s="4" t="s">
        <v>87</v>
      </c>
      <c r="I102" s="4"/>
      <c r="J102" s="4"/>
      <c r="K102" s="4">
        <v>202</v>
      </c>
      <c r="L102" s="4">
        <v>2</v>
      </c>
      <c r="M102" s="4">
        <v>3</v>
      </c>
      <c r="N102" s="4" t="s">
        <v>3</v>
      </c>
      <c r="O102" s="4">
        <v>2</v>
      </c>
      <c r="P102" s="4"/>
      <c r="Q102" s="4"/>
      <c r="R102" s="4"/>
      <c r="S102" s="4"/>
      <c r="T102" s="4"/>
      <c r="U102" s="4"/>
      <c r="V102" s="4"/>
      <c r="W102" s="4">
        <v>1080.3</v>
      </c>
      <c r="X102" s="4">
        <v>1</v>
      </c>
      <c r="Y102" s="4">
        <v>0</v>
      </c>
      <c r="Z102" s="4"/>
      <c r="AA102" s="4"/>
      <c r="AB102" s="4"/>
    </row>
    <row r="103" spans="1:245">
      <c r="A103" s="4">
        <v>50</v>
      </c>
      <c r="B103" s="4">
        <v>0</v>
      </c>
      <c r="C103" s="4">
        <v>0</v>
      </c>
      <c r="D103" s="4">
        <v>1</v>
      </c>
      <c r="E103" s="4">
        <v>222</v>
      </c>
      <c r="F103" s="4">
        <f>ROUND(Source!AO99,O103)</f>
        <v>0</v>
      </c>
      <c r="G103" s="4" t="s">
        <v>88</v>
      </c>
      <c r="H103" s="4" t="s">
        <v>89</v>
      </c>
      <c r="I103" s="4"/>
      <c r="J103" s="4"/>
      <c r="K103" s="4">
        <v>222</v>
      </c>
      <c r="L103" s="4">
        <v>3</v>
      </c>
      <c r="M103" s="4">
        <v>3</v>
      </c>
      <c r="N103" s="4" t="s">
        <v>3</v>
      </c>
      <c r="O103" s="4">
        <v>2</v>
      </c>
      <c r="P103" s="4"/>
      <c r="Q103" s="4"/>
      <c r="R103" s="4"/>
      <c r="S103" s="4"/>
      <c r="T103" s="4"/>
      <c r="U103" s="4"/>
      <c r="V103" s="4"/>
      <c r="W103" s="4">
        <v>0</v>
      </c>
      <c r="X103" s="4">
        <v>1</v>
      </c>
      <c r="Y103" s="4">
        <v>0</v>
      </c>
      <c r="Z103" s="4"/>
      <c r="AA103" s="4"/>
      <c r="AB103" s="4"/>
    </row>
    <row r="104" spans="1:245">
      <c r="A104" s="4">
        <v>50</v>
      </c>
      <c r="B104" s="4">
        <v>0</v>
      </c>
      <c r="C104" s="4">
        <v>0</v>
      </c>
      <c r="D104" s="4">
        <v>1</v>
      </c>
      <c r="E104" s="4">
        <v>225</v>
      </c>
      <c r="F104" s="4">
        <f>ROUND(Source!AV99,O104)</f>
        <v>1080.3</v>
      </c>
      <c r="G104" s="4" t="s">
        <v>90</v>
      </c>
      <c r="H104" s="4" t="s">
        <v>91</v>
      </c>
      <c r="I104" s="4"/>
      <c r="J104" s="4"/>
      <c r="K104" s="4">
        <v>225</v>
      </c>
      <c r="L104" s="4">
        <v>4</v>
      </c>
      <c r="M104" s="4">
        <v>3</v>
      </c>
      <c r="N104" s="4" t="s">
        <v>3</v>
      </c>
      <c r="O104" s="4">
        <v>2</v>
      </c>
      <c r="P104" s="4"/>
      <c r="Q104" s="4"/>
      <c r="R104" s="4"/>
      <c r="S104" s="4"/>
      <c r="T104" s="4"/>
      <c r="U104" s="4"/>
      <c r="V104" s="4"/>
      <c r="W104" s="4">
        <v>1080.3</v>
      </c>
      <c r="X104" s="4">
        <v>1</v>
      </c>
      <c r="Y104" s="4">
        <v>0</v>
      </c>
      <c r="Z104" s="4"/>
      <c r="AA104" s="4"/>
      <c r="AB104" s="4"/>
    </row>
    <row r="105" spans="1:245">
      <c r="A105" s="4">
        <v>50</v>
      </c>
      <c r="B105" s="4">
        <v>0</v>
      </c>
      <c r="C105" s="4">
        <v>0</v>
      </c>
      <c r="D105" s="4">
        <v>1</v>
      </c>
      <c r="E105" s="4">
        <v>226</v>
      </c>
      <c r="F105" s="4">
        <f>ROUND(Source!AW99,O105)</f>
        <v>1080.3</v>
      </c>
      <c r="G105" s="4" t="s">
        <v>92</v>
      </c>
      <c r="H105" s="4" t="s">
        <v>93</v>
      </c>
      <c r="I105" s="4"/>
      <c r="J105" s="4"/>
      <c r="K105" s="4">
        <v>226</v>
      </c>
      <c r="L105" s="4">
        <v>5</v>
      </c>
      <c r="M105" s="4">
        <v>3</v>
      </c>
      <c r="N105" s="4" t="s">
        <v>3</v>
      </c>
      <c r="O105" s="4">
        <v>2</v>
      </c>
      <c r="P105" s="4"/>
      <c r="Q105" s="4"/>
      <c r="R105" s="4"/>
      <c r="S105" s="4"/>
      <c r="T105" s="4"/>
      <c r="U105" s="4"/>
      <c r="V105" s="4"/>
      <c r="W105" s="4">
        <v>1080.3</v>
      </c>
      <c r="X105" s="4">
        <v>1</v>
      </c>
      <c r="Y105" s="4">
        <v>5563.55</v>
      </c>
      <c r="Z105" s="4"/>
      <c r="AA105" s="4"/>
      <c r="AB105" s="4"/>
    </row>
    <row r="106" spans="1:245">
      <c r="A106" s="4">
        <v>50</v>
      </c>
      <c r="B106" s="4">
        <v>0</v>
      </c>
      <c r="C106" s="4">
        <v>0</v>
      </c>
      <c r="D106" s="4">
        <v>1</v>
      </c>
      <c r="E106" s="4">
        <v>227</v>
      </c>
      <c r="F106" s="4">
        <f>ROUND(Source!AX99,O106)</f>
        <v>0</v>
      </c>
      <c r="G106" s="4" t="s">
        <v>94</v>
      </c>
      <c r="H106" s="4" t="s">
        <v>95</v>
      </c>
      <c r="I106" s="4"/>
      <c r="J106" s="4"/>
      <c r="K106" s="4">
        <v>227</v>
      </c>
      <c r="L106" s="4">
        <v>6</v>
      </c>
      <c r="M106" s="4">
        <v>3</v>
      </c>
      <c r="N106" s="4" t="s">
        <v>3</v>
      </c>
      <c r="O106" s="4">
        <v>2</v>
      </c>
      <c r="P106" s="4"/>
      <c r="Q106" s="4"/>
      <c r="R106" s="4"/>
      <c r="S106" s="4"/>
      <c r="T106" s="4"/>
      <c r="U106" s="4"/>
      <c r="V106" s="4"/>
      <c r="W106" s="4">
        <v>0</v>
      </c>
      <c r="X106" s="4">
        <v>1</v>
      </c>
      <c r="Y106" s="4">
        <v>0</v>
      </c>
      <c r="Z106" s="4"/>
      <c r="AA106" s="4"/>
      <c r="AB106" s="4"/>
    </row>
    <row r="107" spans="1:245">
      <c r="A107" s="4">
        <v>50</v>
      </c>
      <c r="B107" s="4">
        <v>0</v>
      </c>
      <c r="C107" s="4">
        <v>0</v>
      </c>
      <c r="D107" s="4">
        <v>1</v>
      </c>
      <c r="E107" s="4">
        <v>228</v>
      </c>
      <c r="F107" s="4">
        <f>ROUND(Source!AY99,O107)</f>
        <v>1080.3</v>
      </c>
      <c r="G107" s="4" t="s">
        <v>96</v>
      </c>
      <c r="H107" s="4" t="s">
        <v>97</v>
      </c>
      <c r="I107" s="4"/>
      <c r="J107" s="4"/>
      <c r="K107" s="4">
        <v>228</v>
      </c>
      <c r="L107" s="4">
        <v>7</v>
      </c>
      <c r="M107" s="4">
        <v>3</v>
      </c>
      <c r="N107" s="4" t="s">
        <v>3</v>
      </c>
      <c r="O107" s="4">
        <v>2</v>
      </c>
      <c r="P107" s="4"/>
      <c r="Q107" s="4"/>
      <c r="R107" s="4"/>
      <c r="S107" s="4"/>
      <c r="T107" s="4"/>
      <c r="U107" s="4"/>
      <c r="V107" s="4"/>
      <c r="W107" s="4">
        <v>1080.3</v>
      </c>
      <c r="X107" s="4">
        <v>1</v>
      </c>
      <c r="Y107" s="4">
        <v>5563.55</v>
      </c>
      <c r="Z107" s="4"/>
      <c r="AA107" s="4"/>
      <c r="AB107" s="4"/>
    </row>
    <row r="108" spans="1:245">
      <c r="A108" s="4">
        <v>50</v>
      </c>
      <c r="B108" s="4">
        <v>0</v>
      </c>
      <c r="C108" s="4">
        <v>0</v>
      </c>
      <c r="D108" s="4">
        <v>1</v>
      </c>
      <c r="E108" s="4">
        <v>216</v>
      </c>
      <c r="F108" s="4">
        <f>ROUND(Source!AP99,O108)</f>
        <v>0</v>
      </c>
      <c r="G108" s="4" t="s">
        <v>98</v>
      </c>
      <c r="H108" s="4" t="s">
        <v>99</v>
      </c>
      <c r="I108" s="4"/>
      <c r="J108" s="4"/>
      <c r="K108" s="4">
        <v>216</v>
      </c>
      <c r="L108" s="4">
        <v>8</v>
      </c>
      <c r="M108" s="4">
        <v>3</v>
      </c>
      <c r="N108" s="4" t="s">
        <v>3</v>
      </c>
      <c r="O108" s="4">
        <v>2</v>
      </c>
      <c r="P108" s="4"/>
      <c r="Q108" s="4"/>
      <c r="R108" s="4"/>
      <c r="S108" s="4"/>
      <c r="T108" s="4"/>
      <c r="U108" s="4"/>
      <c r="V108" s="4"/>
      <c r="W108" s="4">
        <v>0</v>
      </c>
      <c r="X108" s="4">
        <v>1</v>
      </c>
      <c r="Y108" s="4">
        <v>0</v>
      </c>
      <c r="Z108" s="4"/>
      <c r="AA108" s="4"/>
      <c r="AB108" s="4"/>
    </row>
    <row r="109" spans="1:245">
      <c r="A109" s="4">
        <v>50</v>
      </c>
      <c r="B109" s="4">
        <v>0</v>
      </c>
      <c r="C109" s="4">
        <v>0</v>
      </c>
      <c r="D109" s="4">
        <v>1</v>
      </c>
      <c r="E109" s="4">
        <v>223</v>
      </c>
      <c r="F109" s="4">
        <f>ROUND(Source!AQ99,O109)</f>
        <v>0</v>
      </c>
      <c r="G109" s="4" t="s">
        <v>100</v>
      </c>
      <c r="H109" s="4" t="s">
        <v>101</v>
      </c>
      <c r="I109" s="4"/>
      <c r="J109" s="4"/>
      <c r="K109" s="4">
        <v>223</v>
      </c>
      <c r="L109" s="4">
        <v>9</v>
      </c>
      <c r="M109" s="4">
        <v>3</v>
      </c>
      <c r="N109" s="4" t="s">
        <v>3</v>
      </c>
      <c r="O109" s="4">
        <v>2</v>
      </c>
      <c r="P109" s="4"/>
      <c r="Q109" s="4"/>
      <c r="R109" s="4"/>
      <c r="S109" s="4"/>
      <c r="T109" s="4"/>
      <c r="U109" s="4"/>
      <c r="V109" s="4"/>
      <c r="W109" s="4">
        <v>0</v>
      </c>
      <c r="X109" s="4">
        <v>1</v>
      </c>
      <c r="Y109" s="4">
        <v>0</v>
      </c>
      <c r="Z109" s="4"/>
      <c r="AA109" s="4"/>
      <c r="AB109" s="4"/>
    </row>
    <row r="110" spans="1:245">
      <c r="A110" s="4">
        <v>50</v>
      </c>
      <c r="B110" s="4">
        <v>0</v>
      </c>
      <c r="C110" s="4">
        <v>0</v>
      </c>
      <c r="D110" s="4">
        <v>1</v>
      </c>
      <c r="E110" s="4">
        <v>229</v>
      </c>
      <c r="F110" s="4">
        <f>ROUND(Source!AZ99,O110)</f>
        <v>0</v>
      </c>
      <c r="G110" s="4" t="s">
        <v>102</v>
      </c>
      <c r="H110" s="4" t="s">
        <v>103</v>
      </c>
      <c r="I110" s="4"/>
      <c r="J110" s="4"/>
      <c r="K110" s="4">
        <v>229</v>
      </c>
      <c r="L110" s="4">
        <v>10</v>
      </c>
      <c r="M110" s="4">
        <v>3</v>
      </c>
      <c r="N110" s="4" t="s">
        <v>3</v>
      </c>
      <c r="O110" s="4">
        <v>2</v>
      </c>
      <c r="P110" s="4"/>
      <c r="Q110" s="4"/>
      <c r="R110" s="4"/>
      <c r="S110" s="4"/>
      <c r="T110" s="4"/>
      <c r="U110" s="4"/>
      <c r="V110" s="4"/>
      <c r="W110" s="4">
        <v>0</v>
      </c>
      <c r="X110" s="4">
        <v>1</v>
      </c>
      <c r="Y110" s="4">
        <v>0</v>
      </c>
      <c r="Z110" s="4"/>
      <c r="AA110" s="4"/>
      <c r="AB110" s="4"/>
    </row>
    <row r="111" spans="1:245">
      <c r="A111" s="4">
        <v>50</v>
      </c>
      <c r="B111" s="4">
        <v>0</v>
      </c>
      <c r="C111" s="4">
        <v>0</v>
      </c>
      <c r="D111" s="4">
        <v>1</v>
      </c>
      <c r="E111" s="4">
        <v>203</v>
      </c>
      <c r="F111" s="4">
        <f>ROUND(Source!Q99,O111)</f>
        <v>11381.18</v>
      </c>
      <c r="G111" s="4" t="s">
        <v>104</v>
      </c>
      <c r="H111" s="4" t="s">
        <v>105</v>
      </c>
      <c r="I111" s="4"/>
      <c r="J111" s="4"/>
      <c r="K111" s="4">
        <v>203</v>
      </c>
      <c r="L111" s="4">
        <v>11</v>
      </c>
      <c r="M111" s="4">
        <v>3</v>
      </c>
      <c r="N111" s="4" t="s">
        <v>3</v>
      </c>
      <c r="O111" s="4">
        <v>2</v>
      </c>
      <c r="P111" s="4"/>
      <c r="Q111" s="4"/>
      <c r="R111" s="4"/>
      <c r="S111" s="4"/>
      <c r="T111" s="4"/>
      <c r="U111" s="4"/>
      <c r="V111" s="4"/>
      <c r="W111" s="4">
        <v>11381.18</v>
      </c>
      <c r="X111" s="4">
        <v>1</v>
      </c>
      <c r="Y111" s="4">
        <v>87862.71</v>
      </c>
      <c r="Z111" s="4"/>
      <c r="AA111" s="4"/>
      <c r="AB111" s="4"/>
    </row>
    <row r="112" spans="1:245">
      <c r="A112" s="4">
        <v>50</v>
      </c>
      <c r="B112" s="4">
        <v>0</v>
      </c>
      <c r="C112" s="4">
        <v>0</v>
      </c>
      <c r="D112" s="4">
        <v>1</v>
      </c>
      <c r="E112" s="4">
        <v>231</v>
      </c>
      <c r="F112" s="4">
        <f>ROUND(Source!BB99,O112)</f>
        <v>0</v>
      </c>
      <c r="G112" s="4" t="s">
        <v>106</v>
      </c>
      <c r="H112" s="4" t="s">
        <v>107</v>
      </c>
      <c r="I112" s="4"/>
      <c r="J112" s="4"/>
      <c r="K112" s="4">
        <v>231</v>
      </c>
      <c r="L112" s="4">
        <v>12</v>
      </c>
      <c r="M112" s="4">
        <v>3</v>
      </c>
      <c r="N112" s="4" t="s">
        <v>3</v>
      </c>
      <c r="O112" s="4">
        <v>2</v>
      </c>
      <c r="P112" s="4"/>
      <c r="Q112" s="4"/>
      <c r="R112" s="4"/>
      <c r="S112" s="4"/>
      <c r="T112" s="4"/>
      <c r="U112" s="4"/>
      <c r="V112" s="4"/>
      <c r="W112" s="4">
        <v>0</v>
      </c>
      <c r="X112" s="4">
        <v>1</v>
      </c>
      <c r="Y112" s="4">
        <v>0</v>
      </c>
      <c r="Z112" s="4"/>
      <c r="AA112" s="4"/>
      <c r="AB112" s="4"/>
    </row>
    <row r="113" spans="1:28">
      <c r="A113" s="4">
        <v>50</v>
      </c>
      <c r="B113" s="4">
        <v>0</v>
      </c>
      <c r="C113" s="4">
        <v>0</v>
      </c>
      <c r="D113" s="4">
        <v>1</v>
      </c>
      <c r="E113" s="4">
        <v>204</v>
      </c>
      <c r="F113" s="4">
        <f>ROUND(Source!R99,O113)</f>
        <v>533.16</v>
      </c>
      <c r="G113" s="4" t="s">
        <v>108</v>
      </c>
      <c r="H113" s="4" t="s">
        <v>109</v>
      </c>
      <c r="I113" s="4"/>
      <c r="J113" s="4"/>
      <c r="K113" s="4">
        <v>204</v>
      </c>
      <c r="L113" s="4">
        <v>13</v>
      </c>
      <c r="M113" s="4">
        <v>3</v>
      </c>
      <c r="N113" s="4" t="s">
        <v>3</v>
      </c>
      <c r="O113" s="4">
        <v>2</v>
      </c>
      <c r="P113" s="4"/>
      <c r="Q113" s="4"/>
      <c r="R113" s="4"/>
      <c r="S113" s="4"/>
      <c r="T113" s="4"/>
      <c r="U113" s="4"/>
      <c r="V113" s="4"/>
      <c r="W113" s="4">
        <v>533.16</v>
      </c>
      <c r="X113" s="4">
        <v>1</v>
      </c>
      <c r="Y113" s="4">
        <v>15424.32</v>
      </c>
      <c r="Z113" s="4"/>
      <c r="AA113" s="4"/>
      <c r="AB113" s="4"/>
    </row>
    <row r="114" spans="1:28">
      <c r="A114" s="4">
        <v>50</v>
      </c>
      <c r="B114" s="4">
        <v>0</v>
      </c>
      <c r="C114" s="4">
        <v>0</v>
      </c>
      <c r="D114" s="4">
        <v>1</v>
      </c>
      <c r="E114" s="4">
        <v>205</v>
      </c>
      <c r="F114" s="4">
        <f>ROUND(Source!S99,O114)</f>
        <v>4467.66</v>
      </c>
      <c r="G114" s="4" t="s">
        <v>110</v>
      </c>
      <c r="H114" s="4" t="s">
        <v>111</v>
      </c>
      <c r="I114" s="4"/>
      <c r="J114" s="4"/>
      <c r="K114" s="4">
        <v>205</v>
      </c>
      <c r="L114" s="4">
        <v>14</v>
      </c>
      <c r="M114" s="4">
        <v>3</v>
      </c>
      <c r="N114" s="4" t="s">
        <v>3</v>
      </c>
      <c r="O114" s="4">
        <v>2</v>
      </c>
      <c r="P114" s="4"/>
      <c r="Q114" s="4"/>
      <c r="R114" s="4"/>
      <c r="S114" s="4"/>
      <c r="T114" s="4"/>
      <c r="U114" s="4"/>
      <c r="V114" s="4"/>
      <c r="W114" s="4">
        <v>4467.6600000000008</v>
      </c>
      <c r="X114" s="4">
        <v>1</v>
      </c>
      <c r="Y114" s="4">
        <v>129249.4</v>
      </c>
      <c r="Z114" s="4"/>
      <c r="AA114" s="4"/>
      <c r="AB114" s="4"/>
    </row>
    <row r="115" spans="1:28">
      <c r="A115" s="4">
        <v>50</v>
      </c>
      <c r="B115" s="4">
        <v>0</v>
      </c>
      <c r="C115" s="4">
        <v>0</v>
      </c>
      <c r="D115" s="4">
        <v>1</v>
      </c>
      <c r="E115" s="4">
        <v>232</v>
      </c>
      <c r="F115" s="4">
        <f>ROUND(Source!BC99,O115)</f>
        <v>0</v>
      </c>
      <c r="G115" s="4" t="s">
        <v>112</v>
      </c>
      <c r="H115" s="4" t="s">
        <v>113</v>
      </c>
      <c r="I115" s="4"/>
      <c r="J115" s="4"/>
      <c r="K115" s="4">
        <v>232</v>
      </c>
      <c r="L115" s="4">
        <v>15</v>
      </c>
      <c r="M115" s="4">
        <v>3</v>
      </c>
      <c r="N115" s="4" t="s">
        <v>3</v>
      </c>
      <c r="O115" s="4">
        <v>2</v>
      </c>
      <c r="P115" s="4"/>
      <c r="Q115" s="4"/>
      <c r="R115" s="4"/>
      <c r="S115" s="4"/>
      <c r="T115" s="4"/>
      <c r="U115" s="4"/>
      <c r="V115" s="4"/>
      <c r="W115" s="4">
        <v>0</v>
      </c>
      <c r="X115" s="4">
        <v>1</v>
      </c>
      <c r="Y115" s="4">
        <v>0</v>
      </c>
      <c r="Z115" s="4"/>
      <c r="AA115" s="4"/>
      <c r="AB115" s="4"/>
    </row>
    <row r="116" spans="1:28">
      <c r="A116" s="4">
        <v>50</v>
      </c>
      <c r="B116" s="4">
        <v>0</v>
      </c>
      <c r="C116" s="4">
        <v>0</v>
      </c>
      <c r="D116" s="4">
        <v>1</v>
      </c>
      <c r="E116" s="4">
        <v>214</v>
      </c>
      <c r="F116" s="4">
        <f>ROUND(Source!AS99,O116)</f>
        <v>0</v>
      </c>
      <c r="G116" s="4" t="s">
        <v>114</v>
      </c>
      <c r="H116" s="4" t="s">
        <v>115</v>
      </c>
      <c r="I116" s="4"/>
      <c r="J116" s="4"/>
      <c r="K116" s="4">
        <v>214</v>
      </c>
      <c r="L116" s="4">
        <v>16</v>
      </c>
      <c r="M116" s="4">
        <v>3</v>
      </c>
      <c r="N116" s="4" t="s">
        <v>3</v>
      </c>
      <c r="O116" s="4">
        <v>2</v>
      </c>
      <c r="P116" s="4"/>
      <c r="Q116" s="4"/>
      <c r="R116" s="4"/>
      <c r="S116" s="4"/>
      <c r="T116" s="4"/>
      <c r="U116" s="4"/>
      <c r="V116" s="4"/>
      <c r="W116" s="4">
        <v>0</v>
      </c>
      <c r="X116" s="4">
        <v>1</v>
      </c>
      <c r="Y116" s="4">
        <v>0</v>
      </c>
      <c r="Z116" s="4"/>
      <c r="AA116" s="4"/>
      <c r="AB116" s="4"/>
    </row>
    <row r="117" spans="1:28">
      <c r="A117" s="4">
        <v>50</v>
      </c>
      <c r="B117" s="4">
        <v>0</v>
      </c>
      <c r="C117" s="4">
        <v>0</v>
      </c>
      <c r="D117" s="4">
        <v>1</v>
      </c>
      <c r="E117" s="4">
        <v>215</v>
      </c>
      <c r="F117" s="4">
        <f>ROUND(Source!AT99,O117)</f>
        <v>24330.34</v>
      </c>
      <c r="G117" s="4" t="s">
        <v>116</v>
      </c>
      <c r="H117" s="4" t="s">
        <v>117</v>
      </c>
      <c r="I117" s="4"/>
      <c r="J117" s="4"/>
      <c r="K117" s="4">
        <v>215</v>
      </c>
      <c r="L117" s="4">
        <v>17</v>
      </c>
      <c r="M117" s="4">
        <v>3</v>
      </c>
      <c r="N117" s="4" t="s">
        <v>3</v>
      </c>
      <c r="O117" s="4">
        <v>2</v>
      </c>
      <c r="P117" s="4"/>
      <c r="Q117" s="4"/>
      <c r="R117" s="4"/>
      <c r="S117" s="4"/>
      <c r="T117" s="4"/>
      <c r="U117" s="4"/>
      <c r="V117" s="4"/>
      <c r="W117" s="4">
        <v>24330.34</v>
      </c>
      <c r="X117" s="4">
        <v>1</v>
      </c>
      <c r="Y117" s="4">
        <v>436792.80000000005</v>
      </c>
      <c r="Z117" s="4"/>
      <c r="AA117" s="4"/>
      <c r="AB117" s="4"/>
    </row>
    <row r="118" spans="1:28">
      <c r="A118" s="4">
        <v>50</v>
      </c>
      <c r="B118" s="4">
        <v>0</v>
      </c>
      <c r="C118" s="4">
        <v>0</v>
      </c>
      <c r="D118" s="4">
        <v>1</v>
      </c>
      <c r="E118" s="4">
        <v>217</v>
      </c>
      <c r="F118" s="4">
        <f>ROUND(Source!AU99,O118)</f>
        <v>0</v>
      </c>
      <c r="G118" s="4" t="s">
        <v>118</v>
      </c>
      <c r="H118" s="4" t="s">
        <v>119</v>
      </c>
      <c r="I118" s="4"/>
      <c r="J118" s="4"/>
      <c r="K118" s="4">
        <v>217</v>
      </c>
      <c r="L118" s="4">
        <v>18</v>
      </c>
      <c r="M118" s="4">
        <v>3</v>
      </c>
      <c r="N118" s="4" t="s">
        <v>3</v>
      </c>
      <c r="O118" s="4">
        <v>2</v>
      </c>
      <c r="P118" s="4"/>
      <c r="Q118" s="4"/>
      <c r="R118" s="4"/>
      <c r="S118" s="4"/>
      <c r="T118" s="4"/>
      <c r="U118" s="4"/>
      <c r="V118" s="4"/>
      <c r="W118" s="4">
        <v>0</v>
      </c>
      <c r="X118" s="4">
        <v>1</v>
      </c>
      <c r="Y118" s="4">
        <v>0</v>
      </c>
      <c r="Z118" s="4"/>
      <c r="AA118" s="4"/>
      <c r="AB118" s="4"/>
    </row>
    <row r="119" spans="1:28">
      <c r="A119" s="4">
        <v>50</v>
      </c>
      <c r="B119" s="4">
        <v>0</v>
      </c>
      <c r="C119" s="4">
        <v>0</v>
      </c>
      <c r="D119" s="4">
        <v>1</v>
      </c>
      <c r="E119" s="4">
        <v>230</v>
      </c>
      <c r="F119" s="4">
        <f>ROUND(Source!BA99,O119)</f>
        <v>0</v>
      </c>
      <c r="G119" s="4" t="s">
        <v>120</v>
      </c>
      <c r="H119" s="4" t="s">
        <v>121</v>
      </c>
      <c r="I119" s="4"/>
      <c r="J119" s="4"/>
      <c r="K119" s="4">
        <v>230</v>
      </c>
      <c r="L119" s="4">
        <v>19</v>
      </c>
      <c r="M119" s="4">
        <v>3</v>
      </c>
      <c r="N119" s="4" t="s">
        <v>3</v>
      </c>
      <c r="O119" s="4">
        <v>2</v>
      </c>
      <c r="P119" s="4"/>
      <c r="Q119" s="4"/>
      <c r="R119" s="4"/>
      <c r="S119" s="4"/>
      <c r="T119" s="4"/>
      <c r="U119" s="4"/>
      <c r="V119" s="4"/>
      <c r="W119" s="4">
        <v>0</v>
      </c>
      <c r="X119" s="4">
        <v>1</v>
      </c>
      <c r="Y119" s="4">
        <v>0</v>
      </c>
      <c r="Z119" s="4"/>
      <c r="AA119" s="4"/>
      <c r="AB119" s="4"/>
    </row>
    <row r="120" spans="1:28">
      <c r="A120" s="4">
        <v>50</v>
      </c>
      <c r="B120" s="4">
        <v>0</v>
      </c>
      <c r="C120" s="4">
        <v>0</v>
      </c>
      <c r="D120" s="4">
        <v>1</v>
      </c>
      <c r="E120" s="4">
        <v>206</v>
      </c>
      <c r="F120" s="4">
        <f>ROUND(Source!T99,O120)</f>
        <v>0</v>
      </c>
      <c r="G120" s="4" t="s">
        <v>122</v>
      </c>
      <c r="H120" s="4" t="s">
        <v>123</v>
      </c>
      <c r="I120" s="4"/>
      <c r="J120" s="4"/>
      <c r="K120" s="4">
        <v>206</v>
      </c>
      <c r="L120" s="4">
        <v>20</v>
      </c>
      <c r="M120" s="4">
        <v>3</v>
      </c>
      <c r="N120" s="4" t="s">
        <v>3</v>
      </c>
      <c r="O120" s="4">
        <v>2</v>
      </c>
      <c r="P120" s="4"/>
      <c r="Q120" s="4"/>
      <c r="R120" s="4"/>
      <c r="S120" s="4"/>
      <c r="T120" s="4"/>
      <c r="U120" s="4"/>
      <c r="V120" s="4"/>
      <c r="W120" s="4">
        <v>0</v>
      </c>
      <c r="X120" s="4">
        <v>1</v>
      </c>
      <c r="Y120" s="4">
        <v>0</v>
      </c>
      <c r="Z120" s="4"/>
      <c r="AA120" s="4"/>
      <c r="AB120" s="4"/>
    </row>
    <row r="121" spans="1:28">
      <c r="A121" s="4">
        <v>50</v>
      </c>
      <c r="B121" s="4">
        <v>0</v>
      </c>
      <c r="C121" s="4">
        <v>0</v>
      </c>
      <c r="D121" s="4">
        <v>1</v>
      </c>
      <c r="E121" s="4">
        <v>207</v>
      </c>
      <c r="F121" s="4">
        <f>Source!U99</f>
        <v>476.62151999999998</v>
      </c>
      <c r="G121" s="4" t="s">
        <v>124</v>
      </c>
      <c r="H121" s="4" t="s">
        <v>125</v>
      </c>
      <c r="I121" s="4"/>
      <c r="J121" s="4"/>
      <c r="K121" s="4">
        <v>207</v>
      </c>
      <c r="L121" s="4">
        <v>21</v>
      </c>
      <c r="M121" s="4">
        <v>3</v>
      </c>
      <c r="N121" s="4" t="s">
        <v>3</v>
      </c>
      <c r="O121" s="4">
        <v>-1</v>
      </c>
      <c r="P121" s="4"/>
      <c r="Q121" s="4"/>
      <c r="R121" s="4"/>
      <c r="S121" s="4"/>
      <c r="T121" s="4"/>
      <c r="U121" s="4"/>
      <c r="V121" s="4"/>
      <c r="W121" s="4">
        <v>476.62151999999998</v>
      </c>
      <c r="X121" s="4">
        <v>1</v>
      </c>
      <c r="Y121" s="4">
        <v>476.62151999999998</v>
      </c>
      <c r="Z121" s="4"/>
      <c r="AA121" s="4"/>
      <c r="AB121" s="4"/>
    </row>
    <row r="122" spans="1:28">
      <c r="A122" s="4">
        <v>50</v>
      </c>
      <c r="B122" s="4">
        <v>0</v>
      </c>
      <c r="C122" s="4">
        <v>0</v>
      </c>
      <c r="D122" s="4">
        <v>1</v>
      </c>
      <c r="E122" s="4">
        <v>208</v>
      </c>
      <c r="F122" s="4">
        <f>Source!V99</f>
        <v>61.207506000000002</v>
      </c>
      <c r="G122" s="4" t="s">
        <v>126</v>
      </c>
      <c r="H122" s="4" t="s">
        <v>127</v>
      </c>
      <c r="I122" s="4"/>
      <c r="J122" s="4"/>
      <c r="K122" s="4">
        <v>208</v>
      </c>
      <c r="L122" s="4">
        <v>22</v>
      </c>
      <c r="M122" s="4">
        <v>3</v>
      </c>
      <c r="N122" s="4" t="s">
        <v>3</v>
      </c>
      <c r="O122" s="4">
        <v>-1</v>
      </c>
      <c r="P122" s="4"/>
      <c r="Q122" s="4"/>
      <c r="R122" s="4"/>
      <c r="S122" s="4"/>
      <c r="T122" s="4"/>
      <c r="U122" s="4"/>
      <c r="V122" s="4"/>
      <c r="W122" s="4">
        <v>61.207506000000002</v>
      </c>
      <c r="X122" s="4">
        <v>1</v>
      </c>
      <c r="Y122" s="4">
        <v>61.207506000000002</v>
      </c>
      <c r="Z122" s="4"/>
      <c r="AA122" s="4"/>
      <c r="AB122" s="4"/>
    </row>
    <row r="123" spans="1:28">
      <c r="A123" s="4">
        <v>50</v>
      </c>
      <c r="B123" s="4">
        <v>0</v>
      </c>
      <c r="C123" s="4">
        <v>0</v>
      </c>
      <c r="D123" s="4">
        <v>1</v>
      </c>
      <c r="E123" s="4">
        <v>209</v>
      </c>
      <c r="F123" s="4">
        <f>ROUND(Source!W99,O123)</f>
        <v>0</v>
      </c>
      <c r="G123" s="4" t="s">
        <v>128</v>
      </c>
      <c r="H123" s="4" t="s">
        <v>129</v>
      </c>
      <c r="I123" s="4"/>
      <c r="J123" s="4"/>
      <c r="K123" s="4">
        <v>209</v>
      </c>
      <c r="L123" s="4">
        <v>23</v>
      </c>
      <c r="M123" s="4">
        <v>3</v>
      </c>
      <c r="N123" s="4" t="s">
        <v>3</v>
      </c>
      <c r="O123" s="4">
        <v>2</v>
      </c>
      <c r="P123" s="4"/>
      <c r="Q123" s="4"/>
      <c r="R123" s="4"/>
      <c r="S123" s="4"/>
      <c r="T123" s="4"/>
      <c r="U123" s="4"/>
      <c r="V123" s="4"/>
      <c r="W123" s="4">
        <v>0</v>
      </c>
      <c r="X123" s="4">
        <v>1</v>
      </c>
      <c r="Y123" s="4">
        <v>0</v>
      </c>
      <c r="Z123" s="4"/>
      <c r="AA123" s="4"/>
      <c r="AB123" s="4"/>
    </row>
    <row r="124" spans="1:28">
      <c r="A124" s="4">
        <v>50</v>
      </c>
      <c r="B124" s="4">
        <v>0</v>
      </c>
      <c r="C124" s="4">
        <v>0</v>
      </c>
      <c r="D124" s="4">
        <v>1</v>
      </c>
      <c r="E124" s="4">
        <v>233</v>
      </c>
      <c r="F124" s="4">
        <f>ROUND(Source!BD99,O124)</f>
        <v>0</v>
      </c>
      <c r="G124" s="4" t="s">
        <v>130</v>
      </c>
      <c r="H124" s="4" t="s">
        <v>131</v>
      </c>
      <c r="I124" s="4"/>
      <c r="J124" s="4"/>
      <c r="K124" s="4">
        <v>233</v>
      </c>
      <c r="L124" s="4">
        <v>24</v>
      </c>
      <c r="M124" s="4">
        <v>3</v>
      </c>
      <c r="N124" s="4" t="s">
        <v>3</v>
      </c>
      <c r="O124" s="4">
        <v>2</v>
      </c>
      <c r="P124" s="4"/>
      <c r="Q124" s="4"/>
      <c r="R124" s="4"/>
      <c r="S124" s="4"/>
      <c r="T124" s="4"/>
      <c r="U124" s="4"/>
      <c r="V124" s="4"/>
      <c r="W124" s="4">
        <v>0</v>
      </c>
      <c r="X124" s="4">
        <v>1</v>
      </c>
      <c r="Y124" s="4">
        <v>0</v>
      </c>
      <c r="Z124" s="4"/>
      <c r="AA124" s="4"/>
      <c r="AB124" s="4"/>
    </row>
    <row r="125" spans="1:28">
      <c r="A125" s="4">
        <v>50</v>
      </c>
      <c r="B125" s="4">
        <v>0</v>
      </c>
      <c r="C125" s="4">
        <v>0</v>
      </c>
      <c r="D125" s="4">
        <v>1</v>
      </c>
      <c r="E125" s="4">
        <v>0</v>
      </c>
      <c r="F125" s="4">
        <f>ROUND(Source!X99,O125)</f>
        <v>4850.78</v>
      </c>
      <c r="G125" s="4" t="s">
        <v>132</v>
      </c>
      <c r="H125" s="4" t="s">
        <v>133</v>
      </c>
      <c r="I125" s="4"/>
      <c r="J125" s="4"/>
      <c r="K125" s="4">
        <v>210</v>
      </c>
      <c r="L125" s="4">
        <v>25</v>
      </c>
      <c r="M125" s="4">
        <v>3</v>
      </c>
      <c r="N125" s="4" t="s">
        <v>3</v>
      </c>
      <c r="O125" s="4">
        <v>2</v>
      </c>
      <c r="P125" s="4"/>
      <c r="Q125" s="4"/>
      <c r="R125" s="4"/>
      <c r="S125" s="4"/>
      <c r="T125" s="4"/>
      <c r="U125" s="4"/>
      <c r="V125" s="4"/>
      <c r="W125" s="4">
        <v>4850.78</v>
      </c>
      <c r="X125" s="4">
        <v>1</v>
      </c>
      <c r="Y125" s="4">
        <v>140333.53000000003</v>
      </c>
      <c r="Z125" s="4"/>
      <c r="AA125" s="4"/>
      <c r="AB125" s="4"/>
    </row>
    <row r="126" spans="1:28">
      <c r="A126" s="4">
        <v>50</v>
      </c>
      <c r="B126" s="4">
        <v>0</v>
      </c>
      <c r="C126" s="4">
        <v>0</v>
      </c>
      <c r="D126" s="4">
        <v>1</v>
      </c>
      <c r="E126" s="4">
        <v>0</v>
      </c>
      <c r="F126" s="4">
        <f>ROUND(Source!Y99,O126)</f>
        <v>2550.42</v>
      </c>
      <c r="G126" s="4" t="s">
        <v>134</v>
      </c>
      <c r="H126" s="4" t="s">
        <v>135</v>
      </c>
      <c r="I126" s="4"/>
      <c r="J126" s="4"/>
      <c r="K126" s="4">
        <v>211</v>
      </c>
      <c r="L126" s="4">
        <v>26</v>
      </c>
      <c r="M126" s="4">
        <v>3</v>
      </c>
      <c r="N126" s="4" t="s">
        <v>3</v>
      </c>
      <c r="O126" s="4">
        <v>2</v>
      </c>
      <c r="P126" s="4"/>
      <c r="Q126" s="4"/>
      <c r="R126" s="4"/>
      <c r="S126" s="4"/>
      <c r="T126" s="4"/>
      <c r="U126" s="4"/>
      <c r="V126" s="4"/>
      <c r="W126" s="4">
        <v>2550.42</v>
      </c>
      <c r="X126" s="4">
        <v>1</v>
      </c>
      <c r="Y126" s="4">
        <v>73783.609999999986</v>
      </c>
      <c r="Z126" s="4"/>
      <c r="AA126" s="4"/>
      <c r="AB126" s="4"/>
    </row>
    <row r="127" spans="1:28">
      <c r="A127" s="4">
        <v>50</v>
      </c>
      <c r="B127" s="4">
        <v>0</v>
      </c>
      <c r="C127" s="4">
        <v>0</v>
      </c>
      <c r="D127" s="4">
        <v>1</v>
      </c>
      <c r="E127" s="4">
        <v>224</v>
      </c>
      <c r="F127" s="4">
        <f>ROUND(Source!AR99,O127)</f>
        <v>24330.34</v>
      </c>
      <c r="G127" s="4" t="s">
        <v>136</v>
      </c>
      <c r="H127" s="4" t="s">
        <v>137</v>
      </c>
      <c r="I127" s="4"/>
      <c r="J127" s="4"/>
      <c r="K127" s="4">
        <v>224</v>
      </c>
      <c r="L127" s="4">
        <v>27</v>
      </c>
      <c r="M127" s="4">
        <v>3</v>
      </c>
      <c r="N127" s="4" t="s">
        <v>3</v>
      </c>
      <c r="O127" s="4">
        <v>2</v>
      </c>
      <c r="P127" s="4"/>
      <c r="Q127" s="4"/>
      <c r="R127" s="4"/>
      <c r="S127" s="4"/>
      <c r="T127" s="4"/>
      <c r="U127" s="4"/>
      <c r="V127" s="4"/>
      <c r="W127" s="4">
        <v>24330.339999999997</v>
      </c>
      <c r="X127" s="4">
        <v>1</v>
      </c>
      <c r="Y127" s="4">
        <v>436792.8</v>
      </c>
      <c r="Z127" s="4"/>
      <c r="AA127" s="4"/>
      <c r="AB127" s="4"/>
    </row>
    <row r="128" spans="1:28">
      <c r="A128" s="4">
        <v>50</v>
      </c>
      <c r="B128" s="4">
        <v>1</v>
      </c>
      <c r="C128" s="4">
        <v>0</v>
      </c>
      <c r="D128" s="4">
        <v>2</v>
      </c>
      <c r="E128" s="4">
        <v>201</v>
      </c>
      <c r="F128" s="4">
        <f>ROUND(ROUND(F101,0),O128)</f>
        <v>16929</v>
      </c>
      <c r="G128" s="4" t="s">
        <v>138</v>
      </c>
      <c r="H128" s="4" t="s">
        <v>139</v>
      </c>
      <c r="I128" s="4"/>
      <c r="J128" s="4"/>
      <c r="K128" s="4">
        <v>212</v>
      </c>
      <c r="L128" s="4">
        <v>28</v>
      </c>
      <c r="M128" s="4">
        <v>0</v>
      </c>
      <c r="N128" s="4" t="s">
        <v>3</v>
      </c>
      <c r="O128" s="4">
        <v>0</v>
      </c>
      <c r="P128" s="4"/>
      <c r="Q128" s="4"/>
      <c r="R128" s="4"/>
      <c r="S128" s="4"/>
      <c r="T128" s="4"/>
      <c r="U128" s="4"/>
      <c r="V128" s="4"/>
      <c r="W128" s="4">
        <v>16929</v>
      </c>
      <c r="X128" s="4">
        <v>1</v>
      </c>
      <c r="Y128" s="4">
        <v>222676</v>
      </c>
      <c r="Z128" s="4"/>
      <c r="AA128" s="4"/>
      <c r="AB128" s="4"/>
    </row>
    <row r="129" spans="1:245">
      <c r="A129" s="4">
        <v>50</v>
      </c>
      <c r="B129" s="4">
        <v>1</v>
      </c>
      <c r="C129" s="4">
        <v>0</v>
      </c>
      <c r="D129" s="4">
        <v>2</v>
      </c>
      <c r="E129" s="4">
        <v>210</v>
      </c>
      <c r="F129" s="4">
        <f>ROUND(ROUND(F125,0),O129)</f>
        <v>4851</v>
      </c>
      <c r="G129" s="4" t="s">
        <v>140</v>
      </c>
      <c r="H129" s="4" t="s">
        <v>133</v>
      </c>
      <c r="I129" s="4"/>
      <c r="J129" s="4"/>
      <c r="K129" s="4">
        <v>212</v>
      </c>
      <c r="L129" s="4">
        <v>29</v>
      </c>
      <c r="M129" s="4">
        <v>0</v>
      </c>
      <c r="N129" s="4" t="s">
        <v>3</v>
      </c>
      <c r="O129" s="4">
        <v>0</v>
      </c>
      <c r="P129" s="4"/>
      <c r="Q129" s="4"/>
      <c r="R129" s="4"/>
      <c r="S129" s="4"/>
      <c r="T129" s="4"/>
      <c r="U129" s="4"/>
      <c r="V129" s="4"/>
      <c r="W129" s="4">
        <v>4851</v>
      </c>
      <c r="X129" s="4">
        <v>1</v>
      </c>
      <c r="Y129" s="4">
        <v>140334</v>
      </c>
      <c r="Z129" s="4"/>
      <c r="AA129" s="4"/>
      <c r="AB129" s="4"/>
    </row>
    <row r="130" spans="1:245">
      <c r="A130" s="4">
        <v>50</v>
      </c>
      <c r="B130" s="4">
        <v>1</v>
      </c>
      <c r="C130" s="4">
        <v>0</v>
      </c>
      <c r="D130" s="4">
        <v>2</v>
      </c>
      <c r="E130" s="4">
        <v>211</v>
      </c>
      <c r="F130" s="4">
        <f>ROUND(ROUND(F126,0),O130)</f>
        <v>2550</v>
      </c>
      <c r="G130" s="4" t="s">
        <v>141</v>
      </c>
      <c r="H130" s="4" t="s">
        <v>135</v>
      </c>
      <c r="I130" s="4"/>
      <c r="J130" s="4"/>
      <c r="K130" s="4">
        <v>212</v>
      </c>
      <c r="L130" s="4">
        <v>30</v>
      </c>
      <c r="M130" s="4">
        <v>0</v>
      </c>
      <c r="N130" s="4" t="s">
        <v>3</v>
      </c>
      <c r="O130" s="4">
        <v>0</v>
      </c>
      <c r="P130" s="4"/>
      <c r="Q130" s="4"/>
      <c r="R130" s="4"/>
      <c r="S130" s="4"/>
      <c r="T130" s="4"/>
      <c r="U130" s="4"/>
      <c r="V130" s="4"/>
      <c r="W130" s="4">
        <v>2550</v>
      </c>
      <c r="X130" s="4">
        <v>1</v>
      </c>
      <c r="Y130" s="4">
        <v>73784</v>
      </c>
      <c r="Z130" s="4"/>
      <c r="AA130" s="4"/>
      <c r="AB130" s="4"/>
    </row>
    <row r="131" spans="1:245">
      <c r="A131" s="4">
        <v>50</v>
      </c>
      <c r="B131" s="4">
        <v>1</v>
      </c>
      <c r="C131" s="4">
        <v>0</v>
      </c>
      <c r="D131" s="4">
        <v>2</v>
      </c>
      <c r="E131" s="4">
        <v>213</v>
      </c>
      <c r="F131" s="4">
        <f>ROUND(F128+F129+F130,O131)</f>
        <v>24330</v>
      </c>
      <c r="G131" s="4" t="s">
        <v>142</v>
      </c>
      <c r="H131" s="4" t="s">
        <v>143</v>
      </c>
      <c r="I131" s="4"/>
      <c r="J131" s="4"/>
      <c r="K131" s="4">
        <v>212</v>
      </c>
      <c r="L131" s="4">
        <v>31</v>
      </c>
      <c r="M131" s="4">
        <v>0</v>
      </c>
      <c r="N131" s="4" t="s">
        <v>3</v>
      </c>
      <c r="O131" s="4">
        <v>2</v>
      </c>
      <c r="P131" s="4"/>
      <c r="Q131" s="4"/>
      <c r="R131" s="4"/>
      <c r="S131" s="4"/>
      <c r="T131" s="4"/>
      <c r="U131" s="4"/>
      <c r="V131" s="4"/>
      <c r="W131" s="4">
        <v>24330</v>
      </c>
      <c r="X131" s="4">
        <v>1</v>
      </c>
      <c r="Y131" s="4">
        <v>436794</v>
      </c>
      <c r="Z131" s="4"/>
      <c r="AA131" s="4"/>
      <c r="AB131" s="4"/>
    </row>
    <row r="132" spans="1:245">
      <c r="A132" s="4">
        <v>50</v>
      </c>
      <c r="B132" s="4">
        <v>0</v>
      </c>
      <c r="C132" s="4">
        <v>0</v>
      </c>
      <c r="D132" s="4">
        <v>2</v>
      </c>
      <c r="E132" s="4">
        <v>0</v>
      </c>
      <c r="F132" s="4">
        <v>0</v>
      </c>
      <c r="G132" s="4" t="s">
        <v>144</v>
      </c>
      <c r="H132" s="4" t="s">
        <v>145</v>
      </c>
      <c r="I132" s="4"/>
      <c r="J132" s="4"/>
      <c r="K132" s="4">
        <v>212</v>
      </c>
      <c r="L132" s="4">
        <v>32</v>
      </c>
      <c r="M132" s="4">
        <v>1</v>
      </c>
      <c r="N132" s="4" t="s">
        <v>3</v>
      </c>
      <c r="O132" s="4">
        <v>2</v>
      </c>
      <c r="P132" s="4"/>
      <c r="Q132" s="4"/>
      <c r="R132" s="4"/>
      <c r="S132" s="4"/>
      <c r="T132" s="4"/>
      <c r="U132" s="4"/>
      <c r="V132" s="4"/>
      <c r="W132" s="4">
        <v>0</v>
      </c>
      <c r="X132" s="4">
        <v>1</v>
      </c>
      <c r="Y132" s="4">
        <v>0</v>
      </c>
      <c r="Z132" s="4"/>
      <c r="AA132" s="4"/>
      <c r="AB132" s="4"/>
    </row>
    <row r="133" spans="1:245">
      <c r="A133" s="4">
        <v>50</v>
      </c>
      <c r="B133" s="4">
        <v>1</v>
      </c>
      <c r="C133" s="4">
        <v>0</v>
      </c>
      <c r="D133" s="4">
        <v>2</v>
      </c>
      <c r="E133" s="4">
        <v>0</v>
      </c>
      <c r="F133" s="4">
        <v>24330.34</v>
      </c>
      <c r="G133" s="4" t="s">
        <v>146</v>
      </c>
      <c r="H133" s="4" t="s">
        <v>147</v>
      </c>
      <c r="I133" s="4"/>
      <c r="J133" s="4"/>
      <c r="K133" s="4">
        <v>212</v>
      </c>
      <c r="L133" s="4">
        <v>33</v>
      </c>
      <c r="M133" s="4">
        <v>1</v>
      </c>
      <c r="N133" s="4" t="s">
        <v>3</v>
      </c>
      <c r="O133" s="4">
        <v>2</v>
      </c>
      <c r="P133" s="4"/>
      <c r="Q133" s="4"/>
      <c r="R133" s="4"/>
      <c r="S133" s="4"/>
      <c r="T133" s="4"/>
      <c r="U133" s="4"/>
      <c r="V133" s="4"/>
      <c r="W133" s="4">
        <v>24330.34</v>
      </c>
      <c r="X133" s="4">
        <v>1</v>
      </c>
      <c r="Y133" s="4">
        <v>24330.34</v>
      </c>
      <c r="Z133" s="4"/>
      <c r="AA133" s="4"/>
      <c r="AB133" s="4"/>
    </row>
    <row r="134" spans="1:245">
      <c r="A134" s="4">
        <v>50</v>
      </c>
      <c r="B134" s="4">
        <v>0</v>
      </c>
      <c r="C134" s="4">
        <v>0</v>
      </c>
      <c r="D134" s="4">
        <v>2</v>
      </c>
      <c r="E134" s="4">
        <v>0</v>
      </c>
      <c r="F134" s="4">
        <v>0</v>
      </c>
      <c r="G134" s="4" t="s">
        <v>148</v>
      </c>
      <c r="H134" s="4" t="s">
        <v>149</v>
      </c>
      <c r="I134" s="4"/>
      <c r="J134" s="4"/>
      <c r="K134" s="4">
        <v>212</v>
      </c>
      <c r="L134" s="4">
        <v>34</v>
      </c>
      <c r="M134" s="4">
        <v>1</v>
      </c>
      <c r="N134" s="4" t="s">
        <v>3</v>
      </c>
      <c r="O134" s="4">
        <v>2</v>
      </c>
      <c r="P134" s="4"/>
      <c r="Q134" s="4"/>
      <c r="R134" s="4"/>
      <c r="S134" s="4"/>
      <c r="T134" s="4"/>
      <c r="U134" s="4"/>
      <c r="V134" s="4"/>
      <c r="W134" s="4">
        <v>0</v>
      </c>
      <c r="X134" s="4">
        <v>1</v>
      </c>
      <c r="Y134" s="4">
        <v>0</v>
      </c>
      <c r="Z134" s="4"/>
      <c r="AA134" s="4"/>
      <c r="AB134" s="4"/>
    </row>
    <row r="135" spans="1:245">
      <c r="A135" s="4">
        <v>50</v>
      </c>
      <c r="B135" s="4">
        <v>0</v>
      </c>
      <c r="C135" s="4">
        <v>0</v>
      </c>
      <c r="D135" s="4">
        <v>2</v>
      </c>
      <c r="E135" s="4">
        <v>0</v>
      </c>
      <c r="F135" s="4">
        <v>0</v>
      </c>
      <c r="G135" s="4" t="s">
        <v>150</v>
      </c>
      <c r="H135" s="4" t="s">
        <v>151</v>
      </c>
      <c r="I135" s="4"/>
      <c r="J135" s="4"/>
      <c r="K135" s="4">
        <v>212</v>
      </c>
      <c r="L135" s="4">
        <v>35</v>
      </c>
      <c r="M135" s="4">
        <v>1</v>
      </c>
      <c r="N135" s="4" t="s">
        <v>3</v>
      </c>
      <c r="O135" s="4">
        <v>2</v>
      </c>
      <c r="P135" s="4"/>
      <c r="Q135" s="4"/>
      <c r="R135" s="4"/>
      <c r="S135" s="4"/>
      <c r="T135" s="4"/>
      <c r="U135" s="4"/>
      <c r="V135" s="4"/>
      <c r="W135" s="4">
        <v>0</v>
      </c>
      <c r="X135" s="4">
        <v>1</v>
      </c>
      <c r="Y135" s="4">
        <v>0</v>
      </c>
      <c r="Z135" s="4"/>
      <c r="AA135" s="4"/>
      <c r="AB135" s="4"/>
    </row>
    <row r="136" spans="1:245">
      <c r="A136" s="4">
        <v>50</v>
      </c>
      <c r="B136" s="4">
        <f>IF(Source!F136=0,1,0)</f>
        <v>1</v>
      </c>
      <c r="C136" s="4">
        <v>0</v>
      </c>
      <c r="D136" s="4">
        <v>2</v>
      </c>
      <c r="E136" s="4">
        <v>0</v>
      </c>
      <c r="F136" s="4">
        <f>ROUND(ROUND((F131-F132-F133-F134-F135),0),O136)</f>
        <v>0</v>
      </c>
      <c r="G136" s="4" t="s">
        <v>152</v>
      </c>
      <c r="H136" s="4" t="s">
        <v>153</v>
      </c>
      <c r="I136" s="4"/>
      <c r="J136" s="4"/>
      <c r="K136" s="4">
        <v>212</v>
      </c>
      <c r="L136" s="4">
        <v>36</v>
      </c>
      <c r="M136" s="4">
        <v>2</v>
      </c>
      <c r="N136" s="4" t="s">
        <v>3</v>
      </c>
      <c r="O136" s="4">
        <v>0</v>
      </c>
      <c r="P136" s="4"/>
      <c r="Q136" s="4"/>
      <c r="R136" s="4"/>
      <c r="S136" s="4"/>
      <c r="T136" s="4"/>
      <c r="U136" s="4"/>
      <c r="V136" s="4"/>
      <c r="W136" s="4">
        <v>0</v>
      </c>
      <c r="X136" s="4">
        <v>1</v>
      </c>
      <c r="Y136" s="4">
        <v>412464</v>
      </c>
      <c r="Z136" s="4"/>
      <c r="AA136" s="4"/>
      <c r="AB136" s="4"/>
    </row>
    <row r="138" spans="1:245">
      <c r="A138" s="1">
        <v>4</v>
      </c>
      <c r="B138" s="1">
        <v>1</v>
      </c>
      <c r="C138" s="1"/>
      <c r="D138" s="1">
        <f>ROW(A146)</f>
        <v>146</v>
      </c>
      <c r="E138" s="1"/>
      <c r="F138" s="1" t="s">
        <v>13</v>
      </c>
      <c r="G138" s="1" t="s">
        <v>228</v>
      </c>
      <c r="H138" s="1" t="s">
        <v>3</v>
      </c>
      <c r="I138" s="1">
        <v>0</v>
      </c>
      <c r="J138" s="1"/>
      <c r="K138" s="1">
        <v>-1</v>
      </c>
      <c r="L138" s="1"/>
      <c r="M138" s="1" t="s">
        <v>3</v>
      </c>
      <c r="N138" s="1"/>
      <c r="O138" s="1"/>
      <c r="P138" s="1"/>
      <c r="Q138" s="1"/>
      <c r="R138" s="1"/>
      <c r="S138" s="1">
        <v>47920235</v>
      </c>
      <c r="T138" s="1"/>
      <c r="U138" s="1" t="s">
        <v>3</v>
      </c>
      <c r="V138" s="1">
        <v>0</v>
      </c>
      <c r="W138" s="1"/>
      <c r="X138" s="1"/>
      <c r="Y138" s="1"/>
      <c r="Z138" s="1"/>
      <c r="AA138" s="1"/>
      <c r="AB138" s="1" t="s">
        <v>3</v>
      </c>
      <c r="AC138" s="1" t="s">
        <v>3</v>
      </c>
      <c r="AD138" s="1" t="s">
        <v>3</v>
      </c>
      <c r="AE138" s="1" t="s">
        <v>3</v>
      </c>
      <c r="AF138" s="1" t="s">
        <v>3</v>
      </c>
      <c r="AG138" s="1" t="s">
        <v>3</v>
      </c>
      <c r="AH138" s="1"/>
      <c r="AI138" s="1"/>
      <c r="AJ138" s="1"/>
      <c r="AK138" s="1"/>
      <c r="AL138" s="1"/>
      <c r="AM138" s="1"/>
      <c r="AN138" s="1"/>
      <c r="AO138" s="1"/>
      <c r="AP138" s="1" t="s">
        <v>3</v>
      </c>
      <c r="AQ138" s="1" t="s">
        <v>3</v>
      </c>
      <c r="AR138" s="1" t="s">
        <v>3</v>
      </c>
      <c r="AS138" s="1"/>
      <c r="AT138" s="1"/>
      <c r="AU138" s="1"/>
      <c r="AV138" s="1"/>
      <c r="AW138" s="1"/>
      <c r="AX138" s="1"/>
      <c r="AY138" s="1"/>
      <c r="AZ138" s="1" t="s">
        <v>3</v>
      </c>
      <c r="BA138" s="1"/>
      <c r="BB138" s="1" t="s">
        <v>3</v>
      </c>
      <c r="BC138" s="1" t="s">
        <v>3</v>
      </c>
      <c r="BD138" s="1" t="s">
        <v>3</v>
      </c>
      <c r="BE138" s="1" t="s">
        <v>3</v>
      </c>
      <c r="BF138" s="1" t="s">
        <v>3</v>
      </c>
      <c r="BG138" s="1" t="s">
        <v>3</v>
      </c>
      <c r="BH138" s="1" t="s">
        <v>3</v>
      </c>
      <c r="BI138" s="1" t="s">
        <v>3</v>
      </c>
      <c r="BJ138" s="1" t="s">
        <v>3</v>
      </c>
      <c r="BK138" s="1" t="s">
        <v>3</v>
      </c>
      <c r="BL138" s="1" t="s">
        <v>3</v>
      </c>
      <c r="BM138" s="1" t="s">
        <v>3</v>
      </c>
      <c r="BN138" s="1" t="s">
        <v>3</v>
      </c>
      <c r="BO138" s="1" t="s">
        <v>3</v>
      </c>
      <c r="BP138" s="1" t="s">
        <v>3</v>
      </c>
      <c r="BQ138" s="1"/>
      <c r="BR138" s="1"/>
      <c r="BS138" s="1"/>
      <c r="BT138" s="1"/>
      <c r="BU138" s="1"/>
      <c r="BV138" s="1"/>
      <c r="BW138" s="1"/>
      <c r="BX138" s="1">
        <v>0</v>
      </c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>
        <v>0</v>
      </c>
    </row>
    <row r="140" spans="1:245">
      <c r="A140" s="2">
        <v>52</v>
      </c>
      <c r="B140" s="2">
        <f t="shared" ref="B140:G140" si="117">B146</f>
        <v>1</v>
      </c>
      <c r="C140" s="2">
        <f t="shared" si="117"/>
        <v>4</v>
      </c>
      <c r="D140" s="2">
        <f t="shared" si="117"/>
        <v>138</v>
      </c>
      <c r="E140" s="2">
        <f t="shared" si="117"/>
        <v>0</v>
      </c>
      <c r="F140" s="2" t="str">
        <f t="shared" si="117"/>
        <v>Новый раздел</v>
      </c>
      <c r="G140" s="2" t="str">
        <f t="shared" si="117"/>
        <v>Переход дороги методом ГНБ (2*34м, 2*22м)</v>
      </c>
      <c r="H140" s="2"/>
      <c r="I140" s="2"/>
      <c r="J140" s="2"/>
      <c r="K140" s="2"/>
      <c r="L140" s="2"/>
      <c r="M140" s="2"/>
      <c r="N140" s="2"/>
      <c r="O140" s="2">
        <f t="shared" ref="O140:AT140" si="118">O146</f>
        <v>57503.6</v>
      </c>
      <c r="P140" s="2">
        <f t="shared" si="118"/>
        <v>13816.27</v>
      </c>
      <c r="Q140" s="2">
        <f t="shared" si="118"/>
        <v>43123.48</v>
      </c>
      <c r="R140" s="2">
        <f t="shared" si="118"/>
        <v>676.23</v>
      </c>
      <c r="S140" s="2">
        <f t="shared" si="118"/>
        <v>563.85</v>
      </c>
      <c r="T140" s="2">
        <f t="shared" si="118"/>
        <v>0</v>
      </c>
      <c r="U140" s="2">
        <f t="shared" si="118"/>
        <v>57.322084959999998</v>
      </c>
      <c r="V140" s="2">
        <f t="shared" si="118"/>
        <v>50.976437120000014</v>
      </c>
      <c r="W140" s="2">
        <f t="shared" si="118"/>
        <v>0</v>
      </c>
      <c r="X140" s="2">
        <f t="shared" si="118"/>
        <v>1314.49</v>
      </c>
      <c r="Y140" s="2">
        <f t="shared" si="118"/>
        <v>558.04</v>
      </c>
      <c r="Z140" s="2">
        <f t="shared" si="118"/>
        <v>0</v>
      </c>
      <c r="AA140" s="2">
        <f t="shared" si="118"/>
        <v>0</v>
      </c>
      <c r="AB140" s="2">
        <f t="shared" si="118"/>
        <v>57503.6</v>
      </c>
      <c r="AC140" s="2">
        <f t="shared" si="118"/>
        <v>13816.27</v>
      </c>
      <c r="AD140" s="2">
        <f t="shared" si="118"/>
        <v>43123.48</v>
      </c>
      <c r="AE140" s="2">
        <f t="shared" si="118"/>
        <v>676.23</v>
      </c>
      <c r="AF140" s="2">
        <f t="shared" si="118"/>
        <v>563.85</v>
      </c>
      <c r="AG140" s="2">
        <f t="shared" si="118"/>
        <v>0</v>
      </c>
      <c r="AH140" s="2">
        <f t="shared" si="118"/>
        <v>57.322084959999998</v>
      </c>
      <c r="AI140" s="2">
        <f t="shared" si="118"/>
        <v>50.976437120000014</v>
      </c>
      <c r="AJ140" s="2">
        <f t="shared" si="118"/>
        <v>0</v>
      </c>
      <c r="AK140" s="2">
        <f t="shared" si="118"/>
        <v>1314.49</v>
      </c>
      <c r="AL140" s="2">
        <f t="shared" si="118"/>
        <v>558.04</v>
      </c>
      <c r="AM140" s="2">
        <f t="shared" si="118"/>
        <v>0</v>
      </c>
      <c r="AN140" s="2">
        <f t="shared" si="118"/>
        <v>0</v>
      </c>
      <c r="AO140" s="2">
        <f t="shared" si="118"/>
        <v>0</v>
      </c>
      <c r="AP140" s="2">
        <f t="shared" si="118"/>
        <v>0</v>
      </c>
      <c r="AQ140" s="2">
        <f t="shared" si="118"/>
        <v>0</v>
      </c>
      <c r="AR140" s="2">
        <f t="shared" si="118"/>
        <v>59376.13</v>
      </c>
      <c r="AS140" s="2">
        <f t="shared" si="118"/>
        <v>46359.15</v>
      </c>
      <c r="AT140" s="2">
        <f t="shared" si="118"/>
        <v>13016.98</v>
      </c>
      <c r="AU140" s="2">
        <f t="shared" ref="AU140:BZ140" si="119">AU146</f>
        <v>0</v>
      </c>
      <c r="AV140" s="2">
        <f t="shared" si="119"/>
        <v>13816.27</v>
      </c>
      <c r="AW140" s="2">
        <f t="shared" si="119"/>
        <v>13816.27</v>
      </c>
      <c r="AX140" s="2">
        <f t="shared" si="119"/>
        <v>0</v>
      </c>
      <c r="AY140" s="2">
        <f t="shared" si="119"/>
        <v>13816.27</v>
      </c>
      <c r="AZ140" s="2">
        <f t="shared" si="119"/>
        <v>0</v>
      </c>
      <c r="BA140" s="2">
        <f t="shared" si="119"/>
        <v>0</v>
      </c>
      <c r="BB140" s="2">
        <f t="shared" si="119"/>
        <v>0</v>
      </c>
      <c r="BC140" s="2">
        <f t="shared" si="119"/>
        <v>0</v>
      </c>
      <c r="BD140" s="2">
        <f t="shared" si="119"/>
        <v>0</v>
      </c>
      <c r="BE140" s="2">
        <f t="shared" si="119"/>
        <v>0</v>
      </c>
      <c r="BF140" s="2">
        <f t="shared" si="119"/>
        <v>0</v>
      </c>
      <c r="BG140" s="2">
        <f t="shared" si="119"/>
        <v>0</v>
      </c>
      <c r="BH140" s="2">
        <f t="shared" si="119"/>
        <v>0</v>
      </c>
      <c r="BI140" s="2">
        <f t="shared" si="119"/>
        <v>0</v>
      </c>
      <c r="BJ140" s="2">
        <f t="shared" si="119"/>
        <v>0</v>
      </c>
      <c r="BK140" s="2">
        <f t="shared" si="119"/>
        <v>0</v>
      </c>
      <c r="BL140" s="2">
        <f t="shared" si="119"/>
        <v>0</v>
      </c>
      <c r="BM140" s="2">
        <f t="shared" si="119"/>
        <v>0</v>
      </c>
      <c r="BN140" s="2">
        <f t="shared" si="119"/>
        <v>0</v>
      </c>
      <c r="BO140" s="2">
        <f t="shared" si="119"/>
        <v>0</v>
      </c>
      <c r="BP140" s="2">
        <f t="shared" si="119"/>
        <v>0</v>
      </c>
      <c r="BQ140" s="2">
        <f t="shared" si="119"/>
        <v>0</v>
      </c>
      <c r="BR140" s="2">
        <f t="shared" si="119"/>
        <v>0</v>
      </c>
      <c r="BS140" s="2">
        <f t="shared" si="119"/>
        <v>0</v>
      </c>
      <c r="BT140" s="2">
        <f t="shared" si="119"/>
        <v>0</v>
      </c>
      <c r="BU140" s="2">
        <f t="shared" si="119"/>
        <v>0</v>
      </c>
      <c r="BV140" s="2">
        <f t="shared" si="119"/>
        <v>0</v>
      </c>
      <c r="BW140" s="2">
        <f t="shared" si="119"/>
        <v>0</v>
      </c>
      <c r="BX140" s="2">
        <f t="shared" si="119"/>
        <v>0</v>
      </c>
      <c r="BY140" s="2">
        <f t="shared" si="119"/>
        <v>0</v>
      </c>
      <c r="BZ140" s="2">
        <f t="shared" si="119"/>
        <v>0</v>
      </c>
      <c r="CA140" s="2">
        <f t="shared" ref="CA140:DF140" si="120">CA146</f>
        <v>59376.13</v>
      </c>
      <c r="CB140" s="2">
        <f t="shared" si="120"/>
        <v>46359.15</v>
      </c>
      <c r="CC140" s="2">
        <f t="shared" si="120"/>
        <v>13016.98</v>
      </c>
      <c r="CD140" s="2">
        <f t="shared" si="120"/>
        <v>0</v>
      </c>
      <c r="CE140" s="2">
        <f t="shared" si="120"/>
        <v>13816.27</v>
      </c>
      <c r="CF140" s="2">
        <f t="shared" si="120"/>
        <v>13816.27</v>
      </c>
      <c r="CG140" s="2">
        <f t="shared" si="120"/>
        <v>0</v>
      </c>
      <c r="CH140" s="2">
        <f t="shared" si="120"/>
        <v>13816.27</v>
      </c>
      <c r="CI140" s="2">
        <f t="shared" si="120"/>
        <v>0</v>
      </c>
      <c r="CJ140" s="2">
        <f t="shared" si="120"/>
        <v>0</v>
      </c>
      <c r="CK140" s="2">
        <f t="shared" si="120"/>
        <v>0</v>
      </c>
      <c r="CL140" s="2">
        <f t="shared" si="120"/>
        <v>0</v>
      </c>
      <c r="CM140" s="2">
        <f t="shared" si="120"/>
        <v>0</v>
      </c>
      <c r="CN140" s="2">
        <f t="shared" si="120"/>
        <v>0</v>
      </c>
      <c r="CO140" s="2">
        <f t="shared" si="120"/>
        <v>0</v>
      </c>
      <c r="CP140" s="2">
        <f t="shared" si="120"/>
        <v>0</v>
      </c>
      <c r="CQ140" s="2">
        <f t="shared" si="120"/>
        <v>0</v>
      </c>
      <c r="CR140" s="2">
        <f t="shared" si="120"/>
        <v>0</v>
      </c>
      <c r="CS140" s="2">
        <f t="shared" si="120"/>
        <v>0</v>
      </c>
      <c r="CT140" s="2">
        <f t="shared" si="120"/>
        <v>0</v>
      </c>
      <c r="CU140" s="2">
        <f t="shared" si="120"/>
        <v>0</v>
      </c>
      <c r="CV140" s="2">
        <f t="shared" si="120"/>
        <v>0</v>
      </c>
      <c r="CW140" s="2">
        <f t="shared" si="120"/>
        <v>0</v>
      </c>
      <c r="CX140" s="2">
        <f t="shared" si="120"/>
        <v>0</v>
      </c>
      <c r="CY140" s="2">
        <f t="shared" si="120"/>
        <v>0</v>
      </c>
      <c r="CZ140" s="2">
        <f t="shared" si="120"/>
        <v>0</v>
      </c>
      <c r="DA140" s="2">
        <f t="shared" si="120"/>
        <v>0</v>
      </c>
      <c r="DB140" s="2">
        <f t="shared" si="120"/>
        <v>0</v>
      </c>
      <c r="DC140" s="2">
        <f t="shared" si="120"/>
        <v>0</v>
      </c>
      <c r="DD140" s="2">
        <f t="shared" si="120"/>
        <v>0</v>
      </c>
      <c r="DE140" s="2">
        <f t="shared" si="120"/>
        <v>0</v>
      </c>
      <c r="DF140" s="2">
        <f t="shared" si="120"/>
        <v>0</v>
      </c>
      <c r="DG140" s="3">
        <f t="shared" ref="DG140:EL140" si="121">DG146</f>
        <v>0</v>
      </c>
      <c r="DH140" s="3">
        <f t="shared" si="121"/>
        <v>0</v>
      </c>
      <c r="DI140" s="3">
        <f t="shared" si="121"/>
        <v>0</v>
      </c>
      <c r="DJ140" s="3">
        <f t="shared" si="121"/>
        <v>0</v>
      </c>
      <c r="DK140" s="3">
        <f t="shared" si="121"/>
        <v>0</v>
      </c>
      <c r="DL140" s="3">
        <f t="shared" si="121"/>
        <v>0</v>
      </c>
      <c r="DM140" s="3">
        <f t="shared" si="121"/>
        <v>0</v>
      </c>
      <c r="DN140" s="3">
        <f t="shared" si="121"/>
        <v>0</v>
      </c>
      <c r="DO140" s="3">
        <f t="shared" si="121"/>
        <v>0</v>
      </c>
      <c r="DP140" s="3">
        <f t="shared" si="121"/>
        <v>0</v>
      </c>
      <c r="DQ140" s="3">
        <f t="shared" si="121"/>
        <v>0</v>
      </c>
      <c r="DR140" s="3">
        <f t="shared" si="121"/>
        <v>0</v>
      </c>
      <c r="DS140" s="3">
        <f t="shared" si="121"/>
        <v>0</v>
      </c>
      <c r="DT140" s="3">
        <f t="shared" si="121"/>
        <v>0</v>
      </c>
      <c r="DU140" s="3">
        <f t="shared" si="121"/>
        <v>0</v>
      </c>
      <c r="DV140" s="3">
        <f t="shared" si="121"/>
        <v>0</v>
      </c>
      <c r="DW140" s="3">
        <f t="shared" si="121"/>
        <v>0</v>
      </c>
      <c r="DX140" s="3">
        <f t="shared" si="121"/>
        <v>0</v>
      </c>
      <c r="DY140" s="3">
        <f t="shared" si="121"/>
        <v>0</v>
      </c>
      <c r="DZ140" s="3">
        <f t="shared" si="121"/>
        <v>0</v>
      </c>
      <c r="EA140" s="3">
        <f t="shared" si="121"/>
        <v>0</v>
      </c>
      <c r="EB140" s="3">
        <f t="shared" si="121"/>
        <v>0</v>
      </c>
      <c r="EC140" s="3">
        <f t="shared" si="121"/>
        <v>0</v>
      </c>
      <c r="ED140" s="3">
        <f t="shared" si="121"/>
        <v>0</v>
      </c>
      <c r="EE140" s="3">
        <f t="shared" si="121"/>
        <v>0</v>
      </c>
      <c r="EF140" s="3">
        <f t="shared" si="121"/>
        <v>0</v>
      </c>
      <c r="EG140" s="3">
        <f t="shared" si="121"/>
        <v>0</v>
      </c>
      <c r="EH140" s="3">
        <f t="shared" si="121"/>
        <v>0</v>
      </c>
      <c r="EI140" s="3">
        <f t="shared" si="121"/>
        <v>0</v>
      </c>
      <c r="EJ140" s="3">
        <f t="shared" si="121"/>
        <v>0</v>
      </c>
      <c r="EK140" s="3">
        <f t="shared" si="121"/>
        <v>0</v>
      </c>
      <c r="EL140" s="3">
        <f t="shared" si="121"/>
        <v>0</v>
      </c>
      <c r="EM140" s="3">
        <f t="shared" ref="EM140:FR140" si="122">EM146</f>
        <v>0</v>
      </c>
      <c r="EN140" s="3">
        <f t="shared" si="122"/>
        <v>0</v>
      </c>
      <c r="EO140" s="3">
        <f t="shared" si="122"/>
        <v>0</v>
      </c>
      <c r="EP140" s="3">
        <f t="shared" si="122"/>
        <v>0</v>
      </c>
      <c r="EQ140" s="3">
        <f t="shared" si="122"/>
        <v>0</v>
      </c>
      <c r="ER140" s="3">
        <f t="shared" si="122"/>
        <v>0</v>
      </c>
      <c r="ES140" s="3">
        <f t="shared" si="122"/>
        <v>0</v>
      </c>
      <c r="ET140" s="3">
        <f t="shared" si="122"/>
        <v>0</v>
      </c>
      <c r="EU140" s="3">
        <f t="shared" si="122"/>
        <v>0</v>
      </c>
      <c r="EV140" s="3">
        <f t="shared" si="122"/>
        <v>0</v>
      </c>
      <c r="EW140" s="3">
        <f t="shared" si="122"/>
        <v>0</v>
      </c>
      <c r="EX140" s="3">
        <f t="shared" si="122"/>
        <v>0</v>
      </c>
      <c r="EY140" s="3">
        <f t="shared" si="122"/>
        <v>0</v>
      </c>
      <c r="EZ140" s="3">
        <f t="shared" si="122"/>
        <v>0</v>
      </c>
      <c r="FA140" s="3">
        <f t="shared" si="122"/>
        <v>0</v>
      </c>
      <c r="FB140" s="3">
        <f t="shared" si="122"/>
        <v>0</v>
      </c>
      <c r="FC140" s="3">
        <f t="shared" si="122"/>
        <v>0</v>
      </c>
      <c r="FD140" s="3">
        <f t="shared" si="122"/>
        <v>0</v>
      </c>
      <c r="FE140" s="3">
        <f t="shared" si="122"/>
        <v>0</v>
      </c>
      <c r="FF140" s="3">
        <f t="shared" si="122"/>
        <v>0</v>
      </c>
      <c r="FG140" s="3">
        <f t="shared" si="122"/>
        <v>0</v>
      </c>
      <c r="FH140" s="3">
        <f t="shared" si="122"/>
        <v>0</v>
      </c>
      <c r="FI140" s="3">
        <f t="shared" si="122"/>
        <v>0</v>
      </c>
      <c r="FJ140" s="3">
        <f t="shared" si="122"/>
        <v>0</v>
      </c>
      <c r="FK140" s="3">
        <f t="shared" si="122"/>
        <v>0</v>
      </c>
      <c r="FL140" s="3">
        <f t="shared" si="122"/>
        <v>0</v>
      </c>
      <c r="FM140" s="3">
        <f t="shared" si="122"/>
        <v>0</v>
      </c>
      <c r="FN140" s="3">
        <f t="shared" si="122"/>
        <v>0</v>
      </c>
      <c r="FO140" s="3">
        <f t="shared" si="122"/>
        <v>0</v>
      </c>
      <c r="FP140" s="3">
        <f t="shared" si="122"/>
        <v>0</v>
      </c>
      <c r="FQ140" s="3">
        <f t="shared" si="122"/>
        <v>0</v>
      </c>
      <c r="FR140" s="3">
        <f t="shared" si="122"/>
        <v>0</v>
      </c>
      <c r="FS140" s="3">
        <f t="shared" ref="FS140:GX140" si="123">FS146</f>
        <v>0</v>
      </c>
      <c r="FT140" s="3">
        <f t="shared" si="123"/>
        <v>0</v>
      </c>
      <c r="FU140" s="3">
        <f t="shared" si="123"/>
        <v>0</v>
      </c>
      <c r="FV140" s="3">
        <f t="shared" si="123"/>
        <v>0</v>
      </c>
      <c r="FW140" s="3">
        <f t="shared" si="123"/>
        <v>0</v>
      </c>
      <c r="FX140" s="3">
        <f t="shared" si="123"/>
        <v>0</v>
      </c>
      <c r="FY140" s="3">
        <f t="shared" si="123"/>
        <v>0</v>
      </c>
      <c r="FZ140" s="3">
        <f t="shared" si="123"/>
        <v>0</v>
      </c>
      <c r="GA140" s="3">
        <f t="shared" si="123"/>
        <v>0</v>
      </c>
      <c r="GB140" s="3">
        <f t="shared" si="123"/>
        <v>0</v>
      </c>
      <c r="GC140" s="3">
        <f t="shared" si="123"/>
        <v>0</v>
      </c>
      <c r="GD140" s="3">
        <f t="shared" si="123"/>
        <v>0</v>
      </c>
      <c r="GE140" s="3">
        <f t="shared" si="123"/>
        <v>0</v>
      </c>
      <c r="GF140" s="3">
        <f t="shared" si="123"/>
        <v>0</v>
      </c>
      <c r="GG140" s="3">
        <f t="shared" si="123"/>
        <v>0</v>
      </c>
      <c r="GH140" s="3">
        <f t="shared" si="123"/>
        <v>0</v>
      </c>
      <c r="GI140" s="3">
        <f t="shared" si="123"/>
        <v>0</v>
      </c>
      <c r="GJ140" s="3">
        <f t="shared" si="123"/>
        <v>0</v>
      </c>
      <c r="GK140" s="3">
        <f t="shared" si="123"/>
        <v>0</v>
      </c>
      <c r="GL140" s="3">
        <f t="shared" si="123"/>
        <v>0</v>
      </c>
      <c r="GM140" s="3">
        <f t="shared" si="123"/>
        <v>0</v>
      </c>
      <c r="GN140" s="3">
        <f t="shared" si="123"/>
        <v>0</v>
      </c>
      <c r="GO140" s="3">
        <f t="shared" si="123"/>
        <v>0</v>
      </c>
      <c r="GP140" s="3">
        <f t="shared" si="123"/>
        <v>0</v>
      </c>
      <c r="GQ140" s="3">
        <f t="shared" si="123"/>
        <v>0</v>
      </c>
      <c r="GR140" s="3">
        <f t="shared" si="123"/>
        <v>0</v>
      </c>
      <c r="GS140" s="3">
        <f t="shared" si="123"/>
        <v>0</v>
      </c>
      <c r="GT140" s="3">
        <f t="shared" si="123"/>
        <v>0</v>
      </c>
      <c r="GU140" s="3">
        <f t="shared" si="123"/>
        <v>0</v>
      </c>
      <c r="GV140" s="3">
        <f t="shared" si="123"/>
        <v>0</v>
      </c>
      <c r="GW140" s="3">
        <f t="shared" si="123"/>
        <v>0</v>
      </c>
      <c r="GX140" s="3">
        <f t="shared" si="123"/>
        <v>0</v>
      </c>
    </row>
    <row r="142" spans="1:245">
      <c r="A142">
        <v>17</v>
      </c>
      <c r="B142">
        <v>1</v>
      </c>
      <c r="C142">
        <f>ROW(SmtRes!A139)</f>
        <v>139</v>
      </c>
      <c r="D142">
        <f>ROW(EtalonRes!A141)</f>
        <v>141</v>
      </c>
      <c r="E142" t="s">
        <v>229</v>
      </c>
      <c r="F142" t="s">
        <v>230</v>
      </c>
      <c r="G142" t="s">
        <v>231</v>
      </c>
      <c r="H142" t="s">
        <v>232</v>
      </c>
      <c r="I142">
        <f>ROUND(112/100,7)</f>
        <v>1.1200000000000001</v>
      </c>
      <c r="J142">
        <v>0</v>
      </c>
      <c r="K142">
        <f>ROUND(112/100,7)</f>
        <v>1.1200000000000001</v>
      </c>
      <c r="O142">
        <f>ROUND(CP142,2)</f>
        <v>14355.13</v>
      </c>
      <c r="P142">
        <f>ROUND(CQ142*I142,2)</f>
        <v>10.8</v>
      </c>
      <c r="Q142">
        <f>ROUND(CR142*I142,2)</f>
        <v>14231.88</v>
      </c>
      <c r="R142">
        <f>ROUND(CS142*I142,2)</f>
        <v>160.54</v>
      </c>
      <c r="S142">
        <f>ROUND(CT142*I142,2)</f>
        <v>112.45</v>
      </c>
      <c r="T142">
        <f>ROUND(CU142*I142,2)</f>
        <v>0</v>
      </c>
      <c r="U142">
        <f>CV142*I142</f>
        <v>11.166400000000001</v>
      </c>
      <c r="V142">
        <f>CW142*I142</f>
        <v>11.211200000000002</v>
      </c>
      <c r="W142">
        <f>ROUND(CX142*I142,2)</f>
        <v>0</v>
      </c>
      <c r="X142">
        <f t="shared" ref="X142:Y144" si="124">ROUND(CY142,2)</f>
        <v>289.37</v>
      </c>
      <c r="Y142">
        <f t="shared" si="124"/>
        <v>122.85</v>
      </c>
      <c r="AA142">
        <v>47920234</v>
      </c>
      <c r="AB142">
        <f>ROUND((AC142+AD142+AF142),2)</f>
        <v>12817.08</v>
      </c>
      <c r="AC142">
        <f>ROUND((ES142),2)</f>
        <v>9.64</v>
      </c>
      <c r="AD142">
        <f>ROUND((((ET142)-(EU142))+AE142),2)</f>
        <v>12707.04</v>
      </c>
      <c r="AE142">
        <f>ROUND((EU142),2)</f>
        <v>143.34</v>
      </c>
      <c r="AF142">
        <f>ROUND((EV142),2)</f>
        <v>100.4</v>
      </c>
      <c r="AG142">
        <f>ROUND((AP142),2)</f>
        <v>0</v>
      </c>
      <c r="AH142">
        <f>(EW142)</f>
        <v>9.9700000000000006</v>
      </c>
      <c r="AI142">
        <f>(EX142)</f>
        <v>10.01</v>
      </c>
      <c r="AJ142">
        <f>(AS142)</f>
        <v>0</v>
      </c>
      <c r="AK142">
        <v>12817.08</v>
      </c>
      <c r="AL142">
        <v>9.64</v>
      </c>
      <c r="AM142">
        <v>12707.04</v>
      </c>
      <c r="AN142">
        <v>143.34</v>
      </c>
      <c r="AO142">
        <v>100.4</v>
      </c>
      <c r="AP142">
        <v>0</v>
      </c>
      <c r="AQ142">
        <v>9.9700000000000006</v>
      </c>
      <c r="AR142">
        <v>10.01</v>
      </c>
      <c r="AS142">
        <v>0</v>
      </c>
      <c r="AT142">
        <v>106</v>
      </c>
      <c r="AU142">
        <v>45</v>
      </c>
      <c r="AV142">
        <v>1</v>
      </c>
      <c r="AW142">
        <v>1</v>
      </c>
      <c r="AZ142">
        <v>1</v>
      </c>
      <c r="BA142">
        <v>28.93</v>
      </c>
      <c r="BB142">
        <v>1</v>
      </c>
      <c r="BC142">
        <v>1</v>
      </c>
      <c r="BD142" t="s">
        <v>3</v>
      </c>
      <c r="BE142" t="s">
        <v>3</v>
      </c>
      <c r="BF142" t="s">
        <v>3</v>
      </c>
      <c r="BG142" t="s">
        <v>3</v>
      </c>
      <c r="BH142">
        <v>0</v>
      </c>
      <c r="BI142">
        <v>1</v>
      </c>
      <c r="BJ142" t="s">
        <v>233</v>
      </c>
      <c r="BM142">
        <v>4001</v>
      </c>
      <c r="BN142">
        <v>0</v>
      </c>
      <c r="BO142" t="s">
        <v>3</v>
      </c>
      <c r="BP142">
        <v>0</v>
      </c>
      <c r="BQ142">
        <v>2</v>
      </c>
      <c r="BR142">
        <v>0</v>
      </c>
      <c r="BS142">
        <v>28.93</v>
      </c>
      <c r="BT142">
        <v>1</v>
      </c>
      <c r="BU142">
        <v>1</v>
      </c>
      <c r="BV142">
        <v>1</v>
      </c>
      <c r="BW142">
        <v>1</v>
      </c>
      <c r="BX142">
        <v>1</v>
      </c>
      <c r="BY142" t="s">
        <v>3</v>
      </c>
      <c r="BZ142">
        <v>106</v>
      </c>
      <c r="CA142">
        <v>45</v>
      </c>
      <c r="CB142" t="s">
        <v>3</v>
      </c>
      <c r="CE142">
        <v>0</v>
      </c>
      <c r="CF142">
        <v>0</v>
      </c>
      <c r="CG142">
        <v>0</v>
      </c>
      <c r="CM142">
        <v>0</v>
      </c>
      <c r="CN142" t="s">
        <v>3</v>
      </c>
      <c r="CO142">
        <v>0</v>
      </c>
      <c r="CP142">
        <f>(P142+Q142+S142)</f>
        <v>14355.13</v>
      </c>
      <c r="CQ142">
        <f>AC142*BC142</f>
        <v>9.64</v>
      </c>
      <c r="CR142">
        <f>AD142*BB142</f>
        <v>12707.04</v>
      </c>
      <c r="CS142">
        <f t="shared" ref="CS142:CX144" si="125">AE142</f>
        <v>143.34</v>
      </c>
      <c r="CT142">
        <f t="shared" si="125"/>
        <v>100.4</v>
      </c>
      <c r="CU142">
        <f t="shared" si="125"/>
        <v>0</v>
      </c>
      <c r="CV142">
        <f t="shared" si="125"/>
        <v>9.9700000000000006</v>
      </c>
      <c r="CW142">
        <f t="shared" si="125"/>
        <v>10.01</v>
      </c>
      <c r="CX142">
        <f t="shared" si="125"/>
        <v>0</v>
      </c>
      <c r="CY142">
        <f>(((S142+R142)*AT142)/100)</f>
        <v>289.36940000000004</v>
      </c>
      <c r="CZ142">
        <f>(((S142+R142)*AU142)/100)</f>
        <v>122.84550000000002</v>
      </c>
      <c r="DC142" t="s">
        <v>3</v>
      </c>
      <c r="DD142" t="s">
        <v>3</v>
      </c>
      <c r="DE142" t="s">
        <v>3</v>
      </c>
      <c r="DF142" t="s">
        <v>3</v>
      </c>
      <c r="DG142" t="s">
        <v>3</v>
      </c>
      <c r="DH142" t="s">
        <v>3</v>
      </c>
      <c r="DI142" t="s">
        <v>3</v>
      </c>
      <c r="DJ142" t="s">
        <v>3</v>
      </c>
      <c r="DK142" t="s">
        <v>3</v>
      </c>
      <c r="DL142" t="s">
        <v>3</v>
      </c>
      <c r="DM142" t="s">
        <v>3</v>
      </c>
      <c r="DN142">
        <v>0</v>
      </c>
      <c r="DO142">
        <v>0</v>
      </c>
      <c r="DP142">
        <v>1</v>
      </c>
      <c r="DQ142">
        <v>1</v>
      </c>
      <c r="DU142">
        <v>1003</v>
      </c>
      <c r="DV142" t="s">
        <v>232</v>
      </c>
      <c r="DW142" t="s">
        <v>232</v>
      </c>
      <c r="DX142">
        <v>100</v>
      </c>
      <c r="DZ142" t="s">
        <v>3</v>
      </c>
      <c r="EA142" t="s">
        <v>3</v>
      </c>
      <c r="EB142" t="s">
        <v>3</v>
      </c>
      <c r="EC142" t="s">
        <v>3</v>
      </c>
      <c r="EE142">
        <v>41328271</v>
      </c>
      <c r="EF142">
        <v>2</v>
      </c>
      <c r="EG142" t="s">
        <v>21</v>
      </c>
      <c r="EH142">
        <v>4</v>
      </c>
      <c r="EI142" t="s">
        <v>234</v>
      </c>
      <c r="EJ142">
        <v>1</v>
      </c>
      <c r="EK142">
        <v>4001</v>
      </c>
      <c r="EL142" t="s">
        <v>234</v>
      </c>
      <c r="EM142" t="s">
        <v>235</v>
      </c>
      <c r="EO142" t="s">
        <v>3</v>
      </c>
      <c r="EQ142">
        <v>0</v>
      </c>
      <c r="ER142">
        <v>12817.08</v>
      </c>
      <c r="ES142">
        <v>9.64</v>
      </c>
      <c r="ET142">
        <v>12707.04</v>
      </c>
      <c r="EU142">
        <v>143.34</v>
      </c>
      <c r="EV142">
        <v>100.4</v>
      </c>
      <c r="EW142">
        <v>9.9700000000000006</v>
      </c>
      <c r="EX142">
        <v>10.01</v>
      </c>
      <c r="EY142">
        <v>0</v>
      </c>
      <c r="FQ142">
        <v>0</v>
      </c>
      <c r="FR142">
        <f>ROUND(IF(AND(BH142=3,BI142=3),P142,0),2)</f>
        <v>0</v>
      </c>
      <c r="FS142">
        <v>0</v>
      </c>
      <c r="FX142">
        <v>106</v>
      </c>
      <c r="FY142">
        <v>45</v>
      </c>
      <c r="GA142" t="s">
        <v>3</v>
      </c>
      <c r="GD142">
        <v>1</v>
      </c>
      <c r="GF142">
        <v>1339164479</v>
      </c>
      <c r="GG142">
        <v>2</v>
      </c>
      <c r="GH142">
        <v>1</v>
      </c>
      <c r="GI142">
        <v>4</v>
      </c>
      <c r="GJ142">
        <v>0</v>
      </c>
      <c r="GK142">
        <v>0</v>
      </c>
      <c r="GL142">
        <f>ROUND(IF(AND(BH142=3,BI142=3,FS142&lt;&gt;0),P142,0),2)</f>
        <v>0</v>
      </c>
      <c r="GM142">
        <f>ROUND(O142+X142+Y142,2)+GX142</f>
        <v>14767.35</v>
      </c>
      <c r="GN142">
        <f>IF(OR(BI142=0,BI142=1),ROUND(O142+X142+Y142,2),0)</f>
        <v>14767.35</v>
      </c>
      <c r="GO142">
        <f>IF(BI142=2,ROUND(O142+X142+Y142,2),0)</f>
        <v>0</v>
      </c>
      <c r="GP142">
        <f>IF(BI142=4,ROUND(O142+X142+Y142,2)+GX142,0)</f>
        <v>0</v>
      </c>
      <c r="GR142">
        <v>0</v>
      </c>
      <c r="GS142">
        <v>0</v>
      </c>
      <c r="GT142">
        <v>0</v>
      </c>
      <c r="GU142" t="s">
        <v>3</v>
      </c>
      <c r="GV142">
        <f>ROUND((GT142),2)</f>
        <v>0</v>
      </c>
      <c r="GW142">
        <v>1</v>
      </c>
      <c r="GX142">
        <f>ROUND(HC142*I142,2)</f>
        <v>0</v>
      </c>
      <c r="HA142">
        <v>0</v>
      </c>
      <c r="HB142">
        <v>0</v>
      </c>
      <c r="HC142">
        <f>GV142*GW142</f>
        <v>0</v>
      </c>
      <c r="HE142" t="s">
        <v>3</v>
      </c>
      <c r="HF142" t="s">
        <v>3</v>
      </c>
      <c r="HI142">
        <f>ROUND(R142*BS142,2)</f>
        <v>4644.42</v>
      </c>
      <c r="HJ142">
        <f>ROUND(S142*BA142,2)</f>
        <v>3253.18</v>
      </c>
      <c r="HK142">
        <f>ROUND((((HJ142+HI142)*AT142)/100),2)</f>
        <v>8371.4599999999991</v>
      </c>
      <c r="HL142">
        <f>ROUND((((HJ142+HI142)*AU142)/100),2)</f>
        <v>3553.92</v>
      </c>
      <c r="HM142" t="s">
        <v>3</v>
      </c>
      <c r="HN142" t="s">
        <v>236</v>
      </c>
      <c r="HO142" t="s">
        <v>237</v>
      </c>
      <c r="HP142" t="s">
        <v>234</v>
      </c>
      <c r="HQ142" t="s">
        <v>234</v>
      </c>
      <c r="IK142">
        <v>0</v>
      </c>
    </row>
    <row r="143" spans="1:245">
      <c r="A143">
        <v>17</v>
      </c>
      <c r="B143">
        <v>1</v>
      </c>
      <c r="C143">
        <f>ROW(SmtRes!A153)</f>
        <v>153</v>
      </c>
      <c r="D143">
        <f>ROW(EtalonRes!A158)</f>
        <v>158</v>
      </c>
      <c r="E143" t="s">
        <v>238</v>
      </c>
      <c r="F143" t="s">
        <v>239</v>
      </c>
      <c r="G143" t="s">
        <v>758</v>
      </c>
      <c r="H143" t="s">
        <v>232</v>
      </c>
      <c r="I143">
        <f>ROUND(112/100,7)</f>
        <v>1.1200000000000001</v>
      </c>
      <c r="J143">
        <v>0</v>
      </c>
      <c r="K143">
        <f>ROUND(112/100,7)</f>
        <v>1.1200000000000001</v>
      </c>
      <c r="O143">
        <f>ROUND(CP143,2)</f>
        <v>30131.49</v>
      </c>
      <c r="P143">
        <f>ROUND(CQ143*I143,2)</f>
        <v>788.49</v>
      </c>
      <c r="Q143">
        <f>ROUND(CR143*I143,2)</f>
        <v>28891.599999999999</v>
      </c>
      <c r="R143">
        <f>ROUND(CS143*I143,2)</f>
        <v>515.69000000000005</v>
      </c>
      <c r="S143">
        <f>ROUND(CT143*I143,2)</f>
        <v>451.4</v>
      </c>
      <c r="T143">
        <f>ROUND(CU143*I143,2)</f>
        <v>0</v>
      </c>
      <c r="U143">
        <f>CV143*I143</f>
        <v>46.155684959999995</v>
      </c>
      <c r="V143">
        <f>CW143*I143</f>
        <v>39.765237120000009</v>
      </c>
      <c r="W143">
        <f>ROUND(CX143*I143,2)</f>
        <v>0</v>
      </c>
      <c r="X143">
        <f t="shared" si="124"/>
        <v>1025.1199999999999</v>
      </c>
      <c r="Y143">
        <f t="shared" si="124"/>
        <v>435.19</v>
      </c>
      <c r="AA143">
        <v>47920234</v>
      </c>
      <c r="AB143">
        <f>ROUND((AC143+AD143+AF143),2)</f>
        <v>26903.119999999999</v>
      </c>
      <c r="AC143">
        <f>ROUND((ES143),2)</f>
        <v>704.01</v>
      </c>
      <c r="AD143">
        <f>ROUND(((((ET143*ROUND(0.4923,7)))-((EU143*ROUND(0.4923,7))))+AE143),2)</f>
        <v>25796.07</v>
      </c>
      <c r="AE143">
        <f>ROUND(((EU143*ROUND(0.4923,7))),2)</f>
        <v>460.44</v>
      </c>
      <c r="AF143">
        <f>ROUND(((EV143*ROUND(0.4923,7))),2)</f>
        <v>403.04</v>
      </c>
      <c r="AG143">
        <f>ROUND((AP143),2)</f>
        <v>0</v>
      </c>
      <c r="AH143">
        <f>((EW143*ROUND(0.4923,7)))</f>
        <v>41.210432999999995</v>
      </c>
      <c r="AI143">
        <f>((EX143*ROUND(0.4923,7)))</f>
        <v>35.504676000000003</v>
      </c>
      <c r="AJ143">
        <f>(AS143)</f>
        <v>0</v>
      </c>
      <c r="AK143">
        <v>53921.78</v>
      </c>
      <c r="AL143">
        <v>704.01</v>
      </c>
      <c r="AM143">
        <v>52399.09</v>
      </c>
      <c r="AN143">
        <v>935.29</v>
      </c>
      <c r="AO143">
        <v>818.68</v>
      </c>
      <c r="AP143">
        <v>0</v>
      </c>
      <c r="AQ143">
        <v>83.71</v>
      </c>
      <c r="AR143">
        <v>72.12</v>
      </c>
      <c r="AS143">
        <v>0</v>
      </c>
      <c r="AT143">
        <v>106</v>
      </c>
      <c r="AU143">
        <v>45</v>
      </c>
      <c r="AV143">
        <v>1</v>
      </c>
      <c r="AW143">
        <v>1</v>
      </c>
      <c r="AZ143">
        <v>1</v>
      </c>
      <c r="BA143">
        <v>28.93</v>
      </c>
      <c r="BB143">
        <v>1</v>
      </c>
      <c r="BC143">
        <v>1</v>
      </c>
      <c r="BD143" t="s">
        <v>3</v>
      </c>
      <c r="BE143" t="s">
        <v>3</v>
      </c>
      <c r="BF143" t="s">
        <v>3</v>
      </c>
      <c r="BG143" t="s">
        <v>3</v>
      </c>
      <c r="BH143">
        <v>0</v>
      </c>
      <c r="BI143">
        <v>1</v>
      </c>
      <c r="BJ143" t="s">
        <v>240</v>
      </c>
      <c r="BM143">
        <v>4001</v>
      </c>
      <c r="BN143">
        <v>0</v>
      </c>
      <c r="BO143" t="s">
        <v>3</v>
      </c>
      <c r="BP143">
        <v>0</v>
      </c>
      <c r="BQ143">
        <v>2</v>
      </c>
      <c r="BR143">
        <v>0</v>
      </c>
      <c r="BS143">
        <v>28.93</v>
      </c>
      <c r="BT143">
        <v>1</v>
      </c>
      <c r="BU143">
        <v>1</v>
      </c>
      <c r="BV143">
        <v>1</v>
      </c>
      <c r="BW143">
        <v>1</v>
      </c>
      <c r="BX143">
        <v>1</v>
      </c>
      <c r="BY143" t="s">
        <v>3</v>
      </c>
      <c r="BZ143">
        <v>106</v>
      </c>
      <c r="CA143">
        <v>45</v>
      </c>
      <c r="CB143" t="s">
        <v>3</v>
      </c>
      <c r="CE143">
        <v>0</v>
      </c>
      <c r="CF143">
        <v>0</v>
      </c>
      <c r="CG143">
        <v>0</v>
      </c>
      <c r="CM143">
        <v>0</v>
      </c>
      <c r="CN143" t="s">
        <v>3</v>
      </c>
      <c r="CO143">
        <v>0</v>
      </c>
      <c r="CP143">
        <f>(P143+Q143+S143)</f>
        <v>30131.49</v>
      </c>
      <c r="CQ143">
        <f>AC143*BC143</f>
        <v>704.01</v>
      </c>
      <c r="CR143">
        <f>AD143*BB143</f>
        <v>25796.07</v>
      </c>
      <c r="CS143">
        <f t="shared" si="125"/>
        <v>460.44</v>
      </c>
      <c r="CT143">
        <f t="shared" si="125"/>
        <v>403.04</v>
      </c>
      <c r="CU143">
        <f t="shared" si="125"/>
        <v>0</v>
      </c>
      <c r="CV143">
        <f t="shared" si="125"/>
        <v>41.210432999999995</v>
      </c>
      <c r="CW143">
        <f t="shared" si="125"/>
        <v>35.504676000000003</v>
      </c>
      <c r="CX143">
        <f t="shared" si="125"/>
        <v>0</v>
      </c>
      <c r="CY143">
        <f>(((S143+R143)*AT143)/100)</f>
        <v>1025.1154000000001</v>
      </c>
      <c r="CZ143">
        <f>(((S143+R143)*AU143)/100)</f>
        <v>435.19050000000004</v>
      </c>
      <c r="DC143" t="s">
        <v>3</v>
      </c>
      <c r="DD143" t="s">
        <v>3</v>
      </c>
      <c r="DE143" t="s">
        <v>241</v>
      </c>
      <c r="DF143" t="s">
        <v>241</v>
      </c>
      <c r="DG143" t="s">
        <v>241</v>
      </c>
      <c r="DH143" t="s">
        <v>3</v>
      </c>
      <c r="DI143" t="s">
        <v>241</v>
      </c>
      <c r="DJ143" t="s">
        <v>241</v>
      </c>
      <c r="DK143" t="s">
        <v>3</v>
      </c>
      <c r="DL143" t="s">
        <v>3</v>
      </c>
      <c r="DM143" t="s">
        <v>3</v>
      </c>
      <c r="DN143">
        <v>0</v>
      </c>
      <c r="DO143">
        <v>0</v>
      </c>
      <c r="DP143">
        <v>1</v>
      </c>
      <c r="DQ143">
        <v>1</v>
      </c>
      <c r="DU143">
        <v>1003</v>
      </c>
      <c r="DV143" t="s">
        <v>232</v>
      </c>
      <c r="DW143" t="s">
        <v>232</v>
      </c>
      <c r="DX143">
        <v>100</v>
      </c>
      <c r="DZ143" t="s">
        <v>3</v>
      </c>
      <c r="EA143" t="s">
        <v>3</v>
      </c>
      <c r="EB143" t="s">
        <v>3</v>
      </c>
      <c r="EC143" t="s">
        <v>3</v>
      </c>
      <c r="EE143">
        <v>41328271</v>
      </c>
      <c r="EF143">
        <v>2</v>
      </c>
      <c r="EG143" t="s">
        <v>21</v>
      </c>
      <c r="EH143">
        <v>4</v>
      </c>
      <c r="EI143" t="s">
        <v>234</v>
      </c>
      <c r="EJ143">
        <v>1</v>
      </c>
      <c r="EK143">
        <v>4001</v>
      </c>
      <c r="EL143" t="s">
        <v>234</v>
      </c>
      <c r="EM143" t="s">
        <v>235</v>
      </c>
      <c r="EO143" t="s">
        <v>3</v>
      </c>
      <c r="EQ143">
        <v>0</v>
      </c>
      <c r="ER143">
        <v>53921.78</v>
      </c>
      <c r="ES143">
        <v>704.01</v>
      </c>
      <c r="ET143">
        <v>52399.09</v>
      </c>
      <c r="EU143">
        <v>935.29</v>
      </c>
      <c r="EV143">
        <v>818.68</v>
      </c>
      <c r="EW143">
        <v>83.71</v>
      </c>
      <c r="EX143">
        <v>72.12</v>
      </c>
      <c r="EY143">
        <v>0</v>
      </c>
      <c r="FQ143">
        <v>0</v>
      </c>
      <c r="FR143">
        <f>ROUND(IF(AND(BH143=3,BI143=3),P143,0),2)</f>
        <v>0</v>
      </c>
      <c r="FS143">
        <v>0</v>
      </c>
      <c r="FX143">
        <v>106</v>
      </c>
      <c r="FY143">
        <v>45</v>
      </c>
      <c r="GA143" t="s">
        <v>3</v>
      </c>
      <c r="GD143">
        <v>1</v>
      </c>
      <c r="GF143">
        <v>1806352414</v>
      </c>
      <c r="GG143">
        <v>2</v>
      </c>
      <c r="GH143">
        <v>1</v>
      </c>
      <c r="GI143">
        <v>4</v>
      </c>
      <c r="GJ143">
        <v>0</v>
      </c>
      <c r="GK143">
        <v>0</v>
      </c>
      <c r="GL143">
        <f>ROUND(IF(AND(BH143=3,BI143=3,FS143&lt;&gt;0),P143,0),2)</f>
        <v>0</v>
      </c>
      <c r="GM143">
        <f>ROUND(O143+X143+Y143,2)+GX143</f>
        <v>31591.8</v>
      </c>
      <c r="GN143">
        <f>IF(OR(BI143=0,BI143=1),ROUND(O143+X143+Y143,2),0)</f>
        <v>31591.8</v>
      </c>
      <c r="GO143">
        <f>IF(BI143=2,ROUND(O143+X143+Y143,2),0)</f>
        <v>0</v>
      </c>
      <c r="GP143">
        <f>IF(BI143=4,ROUND(O143+X143+Y143,2)+GX143,0)</f>
        <v>0</v>
      </c>
      <c r="GR143">
        <v>0</v>
      </c>
      <c r="GS143">
        <v>0</v>
      </c>
      <c r="GT143">
        <v>0</v>
      </c>
      <c r="GU143" t="s">
        <v>3</v>
      </c>
      <c r="GV143">
        <f>ROUND((GT143),2)</f>
        <v>0</v>
      </c>
      <c r="GW143">
        <v>1</v>
      </c>
      <c r="GX143">
        <f>ROUND(HC143*I143,2)</f>
        <v>0</v>
      </c>
      <c r="HA143">
        <v>0</v>
      </c>
      <c r="HB143">
        <v>0</v>
      </c>
      <c r="HC143">
        <f>GV143*GW143</f>
        <v>0</v>
      </c>
      <c r="HE143" t="s">
        <v>3</v>
      </c>
      <c r="HF143" t="s">
        <v>3</v>
      </c>
      <c r="HI143">
        <f>ROUND(R143*BS143,2)</f>
        <v>14918.91</v>
      </c>
      <c r="HJ143">
        <f>ROUND(S143*BA143,2)</f>
        <v>13059</v>
      </c>
      <c r="HK143">
        <f>ROUND((((HJ143+HI143)*AT143)/100),2)</f>
        <v>29656.58</v>
      </c>
      <c r="HL143">
        <f>ROUND((((HJ143+HI143)*AU143)/100),2)</f>
        <v>12590.06</v>
      </c>
      <c r="HM143" t="s">
        <v>3</v>
      </c>
      <c r="HN143" t="s">
        <v>236</v>
      </c>
      <c r="HO143" t="s">
        <v>237</v>
      </c>
      <c r="HP143" t="s">
        <v>234</v>
      </c>
      <c r="HQ143" t="s">
        <v>234</v>
      </c>
      <c r="IK143">
        <v>0</v>
      </c>
    </row>
    <row r="144" spans="1:245">
      <c r="A144">
        <v>17</v>
      </c>
      <c r="B144">
        <v>1</v>
      </c>
      <c r="E144" t="s">
        <v>242</v>
      </c>
      <c r="F144" t="s">
        <v>243</v>
      </c>
      <c r="G144" t="s">
        <v>244</v>
      </c>
      <c r="H144" t="s">
        <v>245</v>
      </c>
      <c r="I144">
        <f>ROUND(112/10,7)</f>
        <v>11.2</v>
      </c>
      <c r="J144">
        <v>0</v>
      </c>
      <c r="K144">
        <f>ROUND(112/10,7)</f>
        <v>11.2</v>
      </c>
      <c r="O144">
        <f>ROUND(CP144,2)</f>
        <v>13016.98</v>
      </c>
      <c r="P144">
        <f>ROUND(CQ144*I144,2)</f>
        <v>13016.98</v>
      </c>
      <c r="Q144">
        <f>ROUND(CR144*I144,2)</f>
        <v>0</v>
      </c>
      <c r="R144">
        <f>ROUND(CS144*I144,2)</f>
        <v>0</v>
      </c>
      <c r="S144">
        <f>ROUND(CT144*I144,2)</f>
        <v>0</v>
      </c>
      <c r="T144">
        <f>ROUND(CU144*I144,2)</f>
        <v>0</v>
      </c>
      <c r="U144">
        <f>CV144*I144</f>
        <v>0</v>
      </c>
      <c r="V144">
        <f>CW144*I144</f>
        <v>0</v>
      </c>
      <c r="W144">
        <f>ROUND(CX144*I144,2)</f>
        <v>0</v>
      </c>
      <c r="X144">
        <f t="shared" si="124"/>
        <v>0</v>
      </c>
      <c r="Y144">
        <f t="shared" si="124"/>
        <v>0</v>
      </c>
      <c r="AA144">
        <v>47920234</v>
      </c>
      <c r="AB144">
        <f>ROUND((AC144+AD144+AF144),2)</f>
        <v>1162.23</v>
      </c>
      <c r="AC144">
        <f>ROUND((ES144),2)</f>
        <v>1162.23</v>
      </c>
      <c r="AD144">
        <f>ROUND((((ET144)-(EU144))+AE144),2)</f>
        <v>0</v>
      </c>
      <c r="AE144">
        <f>ROUND((EU144),2)</f>
        <v>0</v>
      </c>
      <c r="AF144">
        <f>ROUND((EV144),2)</f>
        <v>0</v>
      </c>
      <c r="AG144">
        <f>ROUND((AP144),2)</f>
        <v>0</v>
      </c>
      <c r="AH144">
        <f>(EW144)</f>
        <v>0</v>
      </c>
      <c r="AI144">
        <f>(EX144)</f>
        <v>0</v>
      </c>
      <c r="AJ144">
        <f>(AS144)</f>
        <v>0</v>
      </c>
      <c r="AK144">
        <v>1162.23</v>
      </c>
      <c r="AL144">
        <v>1162.23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1</v>
      </c>
      <c r="AW144">
        <v>1</v>
      </c>
      <c r="AZ144">
        <v>1</v>
      </c>
      <c r="BA144">
        <v>1</v>
      </c>
      <c r="BB144">
        <v>1</v>
      </c>
      <c r="BC144">
        <v>1</v>
      </c>
      <c r="BD144" t="s">
        <v>3</v>
      </c>
      <c r="BE144" t="s">
        <v>3</v>
      </c>
      <c r="BF144" t="s">
        <v>3</v>
      </c>
      <c r="BG144" t="s">
        <v>3</v>
      </c>
      <c r="BH144">
        <v>3</v>
      </c>
      <c r="BI144">
        <v>2</v>
      </c>
      <c r="BJ144" t="s">
        <v>246</v>
      </c>
      <c r="BM144">
        <v>500002</v>
      </c>
      <c r="BN144">
        <v>0</v>
      </c>
      <c r="BO144" t="s">
        <v>3</v>
      </c>
      <c r="BP144">
        <v>0</v>
      </c>
      <c r="BQ144">
        <v>12</v>
      </c>
      <c r="BR144">
        <v>0</v>
      </c>
      <c r="BS144">
        <v>1</v>
      </c>
      <c r="BT144">
        <v>1</v>
      </c>
      <c r="BU144">
        <v>1</v>
      </c>
      <c r="BV144">
        <v>1</v>
      </c>
      <c r="BW144">
        <v>1</v>
      </c>
      <c r="BX144">
        <v>1</v>
      </c>
      <c r="BY144" t="s">
        <v>3</v>
      </c>
      <c r="BZ144">
        <v>0</v>
      </c>
      <c r="CA144">
        <v>0</v>
      </c>
      <c r="CB144" t="s">
        <v>3</v>
      </c>
      <c r="CE144">
        <v>0</v>
      </c>
      <c r="CF144">
        <v>0</v>
      </c>
      <c r="CG144">
        <v>0</v>
      </c>
      <c r="CM144">
        <v>0</v>
      </c>
      <c r="CN144" t="s">
        <v>3</v>
      </c>
      <c r="CO144">
        <v>0</v>
      </c>
      <c r="CP144">
        <f>(P144+Q144+S144)</f>
        <v>13016.98</v>
      </c>
      <c r="CQ144">
        <f>AC144*BC144</f>
        <v>1162.23</v>
      </c>
      <c r="CR144">
        <f>AD144*BB144</f>
        <v>0</v>
      </c>
      <c r="CS144">
        <f t="shared" si="125"/>
        <v>0</v>
      </c>
      <c r="CT144">
        <f t="shared" si="125"/>
        <v>0</v>
      </c>
      <c r="CU144">
        <f t="shared" si="125"/>
        <v>0</v>
      </c>
      <c r="CV144">
        <f t="shared" si="125"/>
        <v>0</v>
      </c>
      <c r="CW144">
        <f t="shared" si="125"/>
        <v>0</v>
      </c>
      <c r="CX144">
        <f t="shared" si="125"/>
        <v>0</v>
      </c>
      <c r="CY144">
        <f>(((S144+R144)*AT144)/100)</f>
        <v>0</v>
      </c>
      <c r="CZ144">
        <f>(((S144+R144)*AU144)/100)</f>
        <v>0</v>
      </c>
      <c r="DC144" t="s">
        <v>3</v>
      </c>
      <c r="DD144" t="s">
        <v>3</v>
      </c>
      <c r="DE144" t="s">
        <v>3</v>
      </c>
      <c r="DF144" t="s">
        <v>3</v>
      </c>
      <c r="DG144" t="s">
        <v>3</v>
      </c>
      <c r="DH144" t="s">
        <v>3</v>
      </c>
      <c r="DI144" t="s">
        <v>3</v>
      </c>
      <c r="DJ144" t="s">
        <v>3</v>
      </c>
      <c r="DK144" t="s">
        <v>3</v>
      </c>
      <c r="DL144" t="s">
        <v>3</v>
      </c>
      <c r="DM144" t="s">
        <v>3</v>
      </c>
      <c r="DN144">
        <v>0</v>
      </c>
      <c r="DO144">
        <v>0</v>
      </c>
      <c r="DP144">
        <v>1</v>
      </c>
      <c r="DQ144">
        <v>1</v>
      </c>
      <c r="DU144">
        <v>1003</v>
      </c>
      <c r="DV144" t="s">
        <v>245</v>
      </c>
      <c r="DW144" t="s">
        <v>245</v>
      </c>
      <c r="DX144">
        <v>10</v>
      </c>
      <c r="DZ144" t="s">
        <v>3</v>
      </c>
      <c r="EA144" t="s">
        <v>3</v>
      </c>
      <c r="EB144" t="s">
        <v>3</v>
      </c>
      <c r="EC144" t="s">
        <v>3</v>
      </c>
      <c r="EE144">
        <v>41328222</v>
      </c>
      <c r="EF144">
        <v>12</v>
      </c>
      <c r="EG144" t="s">
        <v>221</v>
      </c>
      <c r="EH144">
        <v>0</v>
      </c>
      <c r="EI144" t="s">
        <v>3</v>
      </c>
      <c r="EJ144">
        <v>2</v>
      </c>
      <c r="EK144">
        <v>500002</v>
      </c>
      <c r="EL144" t="s">
        <v>222</v>
      </c>
      <c r="EM144" t="s">
        <v>223</v>
      </c>
      <c r="EO144" t="s">
        <v>3</v>
      </c>
      <c r="EQ144">
        <v>0</v>
      </c>
      <c r="ER144">
        <v>1162.23</v>
      </c>
      <c r="ES144">
        <v>1162.23</v>
      </c>
      <c r="ET144">
        <v>0</v>
      </c>
      <c r="EU144">
        <v>0</v>
      </c>
      <c r="EV144">
        <v>0</v>
      </c>
      <c r="EW144">
        <v>0</v>
      </c>
      <c r="EX144">
        <v>0</v>
      </c>
      <c r="EY144">
        <v>0</v>
      </c>
      <c r="FQ144">
        <v>0</v>
      </c>
      <c r="FR144">
        <f>ROUND(IF(AND(BH144=3,BI144=3),P144,0),2)</f>
        <v>0</v>
      </c>
      <c r="FS144">
        <v>0</v>
      </c>
      <c r="FX144">
        <v>0</v>
      </c>
      <c r="FY144">
        <v>0</v>
      </c>
      <c r="GA144" t="s">
        <v>3</v>
      </c>
      <c r="GD144">
        <v>1</v>
      </c>
      <c r="GF144">
        <v>-101605745</v>
      </c>
      <c r="GG144">
        <v>2</v>
      </c>
      <c r="GH144">
        <v>1</v>
      </c>
      <c r="GI144">
        <v>4</v>
      </c>
      <c r="GJ144">
        <v>0</v>
      </c>
      <c r="GK144">
        <v>0</v>
      </c>
      <c r="GL144">
        <f>ROUND(IF(AND(BH144=3,BI144=3,FS144&lt;&gt;0),P144,0),2)</f>
        <v>0</v>
      </c>
      <c r="GM144">
        <f>ROUND(O144+X144+Y144,2)+GX144</f>
        <v>13016.98</v>
      </c>
      <c r="GN144">
        <f>IF(OR(BI144=0,BI144=1),ROUND(O144+X144+Y144,2),0)</f>
        <v>0</v>
      </c>
      <c r="GO144">
        <f>IF(BI144=2,ROUND(O144+X144+Y144,2),0)</f>
        <v>13016.98</v>
      </c>
      <c r="GP144">
        <f>IF(BI144=4,ROUND(O144+X144+Y144,2)+GX144,0)</f>
        <v>0</v>
      </c>
      <c r="GR144">
        <v>0</v>
      </c>
      <c r="GS144">
        <v>0</v>
      </c>
      <c r="GT144">
        <v>0</v>
      </c>
      <c r="GU144" t="s">
        <v>3</v>
      </c>
      <c r="GV144">
        <f>ROUND((GT144),2)</f>
        <v>0</v>
      </c>
      <c r="GW144">
        <v>1</v>
      </c>
      <c r="GX144">
        <f>ROUND(HC144*I144,2)</f>
        <v>0</v>
      </c>
      <c r="HA144">
        <v>0</v>
      </c>
      <c r="HB144">
        <v>0</v>
      </c>
      <c r="HC144">
        <f>GV144*GW144</f>
        <v>0</v>
      </c>
      <c r="HE144" t="s">
        <v>3</v>
      </c>
      <c r="HF144" t="s">
        <v>3</v>
      </c>
      <c r="HI144">
        <f>ROUND(R144*BS144,2)</f>
        <v>0</v>
      </c>
      <c r="HJ144">
        <f>ROUND(S144*BA144,2)</f>
        <v>0</v>
      </c>
      <c r="HK144">
        <f>ROUND((((HJ144+HI144)*AT144)/100),2)</f>
        <v>0</v>
      </c>
      <c r="HL144">
        <f>ROUND((((HJ144+HI144)*AU144)/100),2)</f>
        <v>0</v>
      </c>
      <c r="HM144" t="s">
        <v>3</v>
      </c>
      <c r="HN144" t="s">
        <v>3</v>
      </c>
      <c r="HO144" t="s">
        <v>3</v>
      </c>
      <c r="HP144" t="s">
        <v>3</v>
      </c>
      <c r="HQ144" t="s">
        <v>3</v>
      </c>
      <c r="IK144">
        <v>0</v>
      </c>
    </row>
    <row r="146" spans="1:206">
      <c r="A146" s="2">
        <v>51</v>
      </c>
      <c r="B146" s="2">
        <f>B138</f>
        <v>1</v>
      </c>
      <c r="C146" s="2">
        <f>A138</f>
        <v>4</v>
      </c>
      <c r="D146" s="2">
        <f>ROW(A138)</f>
        <v>138</v>
      </c>
      <c r="E146" s="2"/>
      <c r="F146" s="2" t="str">
        <f>IF(F138&lt;&gt;"",F138,"")</f>
        <v>Новый раздел</v>
      </c>
      <c r="G146" s="2" t="str">
        <f>IF(G138&lt;&gt;"",G138,"")</f>
        <v>Переход дороги методом ГНБ (2*34м, 2*22м)</v>
      </c>
      <c r="H146" s="2">
        <v>0</v>
      </c>
      <c r="I146" s="2"/>
      <c r="J146" s="2"/>
      <c r="K146" s="2"/>
      <c r="L146" s="2"/>
      <c r="M146" s="2"/>
      <c r="N146" s="2"/>
      <c r="O146" s="2">
        <f t="shared" ref="O146:T146" si="126">ROUND(AB146,2)</f>
        <v>57503.6</v>
      </c>
      <c r="P146" s="2">
        <f t="shared" si="126"/>
        <v>13816.27</v>
      </c>
      <c r="Q146" s="2">
        <f t="shared" si="126"/>
        <v>43123.48</v>
      </c>
      <c r="R146" s="2">
        <f t="shared" si="126"/>
        <v>676.23</v>
      </c>
      <c r="S146" s="2">
        <f t="shared" si="126"/>
        <v>563.85</v>
      </c>
      <c r="T146" s="2">
        <f t="shared" si="126"/>
        <v>0</v>
      </c>
      <c r="U146" s="2">
        <f>AH146</f>
        <v>57.322084959999998</v>
      </c>
      <c r="V146" s="2">
        <f>AI146</f>
        <v>50.976437120000014</v>
      </c>
      <c r="W146" s="2">
        <f>ROUND(AJ146,2)</f>
        <v>0</v>
      </c>
      <c r="X146" s="2">
        <f>ROUND(AK146,2)</f>
        <v>1314.49</v>
      </c>
      <c r="Y146" s="2">
        <f>ROUND(AL146,2)</f>
        <v>558.04</v>
      </c>
      <c r="Z146" s="2"/>
      <c r="AA146" s="2"/>
      <c r="AB146" s="2">
        <f>ROUND(SUMIF(AA142:AA144,"=47920234",O142:O144),2)</f>
        <v>57503.6</v>
      </c>
      <c r="AC146" s="2">
        <f>ROUND(SUMIF(AA142:AA144,"=47920234",P142:P144),2)</f>
        <v>13816.27</v>
      </c>
      <c r="AD146" s="2">
        <f>ROUND(SUMIF(AA142:AA144,"=47920234",Q142:Q144),2)</f>
        <v>43123.48</v>
      </c>
      <c r="AE146" s="2">
        <f>ROUND(SUMIF(AA142:AA144,"=47920234",R142:R144),2)</f>
        <v>676.23</v>
      </c>
      <c r="AF146" s="2">
        <f>ROUND(SUMIF(AA142:AA144,"=47920234",S142:S144),2)</f>
        <v>563.85</v>
      </c>
      <c r="AG146" s="2">
        <f>ROUND(SUMIF(AA142:AA144,"=47920234",T142:T144),2)</f>
        <v>0</v>
      </c>
      <c r="AH146" s="2">
        <f>SUMIF(AA142:AA144,"=47920234",U142:U144)</f>
        <v>57.322084959999998</v>
      </c>
      <c r="AI146" s="2">
        <f>SUMIF(AA142:AA144,"=47920234",V142:V144)</f>
        <v>50.976437120000014</v>
      </c>
      <c r="AJ146" s="2">
        <f>ROUND(SUMIF(AA142:AA144,"=47920234",W142:W144),2)</f>
        <v>0</v>
      </c>
      <c r="AK146" s="2">
        <f>ROUND(SUMIF(AA142:AA144,"=47920234",X142:X144),2)</f>
        <v>1314.49</v>
      </c>
      <c r="AL146" s="2">
        <f>ROUND(SUMIF(AA142:AA144,"=47920234",Y142:Y144),2)</f>
        <v>558.04</v>
      </c>
      <c r="AM146" s="2"/>
      <c r="AN146" s="2"/>
      <c r="AO146" s="2">
        <f t="shared" ref="AO146:BD146" si="127">ROUND(BX146,2)</f>
        <v>0</v>
      </c>
      <c r="AP146" s="2">
        <f t="shared" si="127"/>
        <v>0</v>
      </c>
      <c r="AQ146" s="2">
        <f t="shared" si="127"/>
        <v>0</v>
      </c>
      <c r="AR146" s="2">
        <f t="shared" si="127"/>
        <v>59376.13</v>
      </c>
      <c r="AS146" s="2">
        <f t="shared" si="127"/>
        <v>46359.15</v>
      </c>
      <c r="AT146" s="2">
        <f t="shared" si="127"/>
        <v>13016.98</v>
      </c>
      <c r="AU146" s="2">
        <f t="shared" si="127"/>
        <v>0</v>
      </c>
      <c r="AV146" s="2">
        <f t="shared" si="127"/>
        <v>13816.27</v>
      </c>
      <c r="AW146" s="2">
        <f t="shared" si="127"/>
        <v>13816.27</v>
      </c>
      <c r="AX146" s="2">
        <f t="shared" si="127"/>
        <v>0</v>
      </c>
      <c r="AY146" s="2">
        <f t="shared" si="127"/>
        <v>13816.27</v>
      </c>
      <c r="AZ146" s="2">
        <f t="shared" si="127"/>
        <v>0</v>
      </c>
      <c r="BA146" s="2">
        <f t="shared" si="127"/>
        <v>0</v>
      </c>
      <c r="BB146" s="2">
        <f t="shared" si="127"/>
        <v>0</v>
      </c>
      <c r="BC146" s="2">
        <f t="shared" si="127"/>
        <v>0</v>
      </c>
      <c r="BD146" s="2">
        <f t="shared" si="127"/>
        <v>0</v>
      </c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>
        <f>ROUND(SUMIF(AA142:AA144,"=47920234",FQ142:FQ144),2)</f>
        <v>0</v>
      </c>
      <c r="BY146" s="2">
        <f>ROUND(SUMIF(AA142:AA144,"=47920234",FR142:FR144),2)</f>
        <v>0</v>
      </c>
      <c r="BZ146" s="2">
        <f>ROUND(SUMIF(AA142:AA144,"=47920234",GL142:GL144),2)</f>
        <v>0</v>
      </c>
      <c r="CA146" s="2">
        <f>ROUND(SUMIF(AA142:AA144,"=47920234",GM142:GM144),2)</f>
        <v>59376.13</v>
      </c>
      <c r="CB146" s="2">
        <f>ROUND(SUMIF(AA142:AA144,"=47920234",GN142:GN144),2)</f>
        <v>46359.15</v>
      </c>
      <c r="CC146" s="2">
        <f>ROUND(SUMIF(AA142:AA144,"=47920234",GO142:GO144),2)</f>
        <v>13016.98</v>
      </c>
      <c r="CD146" s="2">
        <f>ROUND(SUMIF(AA142:AA144,"=47920234",GP142:GP144),2)</f>
        <v>0</v>
      </c>
      <c r="CE146" s="2">
        <f>AC146-BX146</f>
        <v>13816.27</v>
      </c>
      <c r="CF146" s="2">
        <f>AC146-BY146</f>
        <v>13816.27</v>
      </c>
      <c r="CG146" s="2">
        <f>BX146-BZ146</f>
        <v>0</v>
      </c>
      <c r="CH146" s="2">
        <f>AC146-BX146-BY146+BZ146</f>
        <v>13816.27</v>
      </c>
      <c r="CI146" s="2">
        <f>BY146-BZ146</f>
        <v>0</v>
      </c>
      <c r="CJ146" s="2">
        <f>ROUND(SUMIF(AA142:AA144,"=47920234",GX142:GX144),2)</f>
        <v>0</v>
      </c>
      <c r="CK146" s="2">
        <f>ROUND(SUMIF(AA142:AA144,"=47920234",GY142:GY144),2)</f>
        <v>0</v>
      </c>
      <c r="CL146" s="2">
        <f>ROUND(SUMIF(AA142:AA144,"=47920234",GZ142:GZ144),2)</f>
        <v>0</v>
      </c>
      <c r="CM146" s="2">
        <f>ROUND(SUMIF(AA142:AA144,"=47920234",HD142:HD144),2)</f>
        <v>0</v>
      </c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>
        <v>0</v>
      </c>
    </row>
    <row r="148" spans="1:206">
      <c r="A148" s="4">
        <v>50</v>
      </c>
      <c r="B148" s="4">
        <v>0</v>
      </c>
      <c r="C148" s="4">
        <v>0</v>
      </c>
      <c r="D148" s="4">
        <v>1</v>
      </c>
      <c r="E148" s="4">
        <v>0</v>
      </c>
      <c r="F148" s="4">
        <f>ROUND(Source!O146,O148)</f>
        <v>57503.6</v>
      </c>
      <c r="G148" s="4" t="s">
        <v>84</v>
      </c>
      <c r="H148" s="4" t="s">
        <v>85</v>
      </c>
      <c r="I148" s="4"/>
      <c r="J148" s="4"/>
      <c r="K148" s="4">
        <v>201</v>
      </c>
      <c r="L148" s="4">
        <v>1</v>
      </c>
      <c r="M148" s="4">
        <v>3</v>
      </c>
      <c r="N148" s="4" t="s">
        <v>3</v>
      </c>
      <c r="O148" s="4">
        <v>2</v>
      </c>
      <c r="P148" s="4"/>
      <c r="Q148" s="4"/>
      <c r="R148" s="4"/>
      <c r="S148" s="4"/>
      <c r="T148" s="4"/>
      <c r="U148" s="4"/>
      <c r="V148" s="4"/>
      <c r="W148" s="4">
        <v>57503.6</v>
      </c>
      <c r="X148" s="4">
        <v>1</v>
      </c>
      <c r="Y148" s="4">
        <v>420379.24</v>
      </c>
      <c r="Z148" s="4"/>
      <c r="AA148" s="4"/>
      <c r="AB148" s="4"/>
    </row>
    <row r="149" spans="1:206">
      <c r="A149" s="4">
        <v>50</v>
      </c>
      <c r="B149" s="4">
        <v>0</v>
      </c>
      <c r="C149" s="4">
        <v>0</v>
      </c>
      <c r="D149" s="4">
        <v>1</v>
      </c>
      <c r="E149" s="4">
        <v>202</v>
      </c>
      <c r="F149" s="4">
        <f>ROUND(Source!P146,O149)</f>
        <v>13816.27</v>
      </c>
      <c r="G149" s="4" t="s">
        <v>86</v>
      </c>
      <c r="H149" s="4" t="s">
        <v>87</v>
      </c>
      <c r="I149" s="4"/>
      <c r="J149" s="4"/>
      <c r="K149" s="4">
        <v>202</v>
      </c>
      <c r="L149" s="4">
        <v>2</v>
      </c>
      <c r="M149" s="4">
        <v>3</v>
      </c>
      <c r="N149" s="4" t="s">
        <v>3</v>
      </c>
      <c r="O149" s="4">
        <v>2</v>
      </c>
      <c r="P149" s="4"/>
      <c r="Q149" s="4"/>
      <c r="R149" s="4"/>
      <c r="S149" s="4"/>
      <c r="T149" s="4"/>
      <c r="U149" s="4"/>
      <c r="V149" s="4"/>
      <c r="W149" s="4">
        <v>13816.27</v>
      </c>
      <c r="X149" s="4">
        <v>1</v>
      </c>
      <c r="Y149" s="4">
        <v>0</v>
      </c>
      <c r="Z149" s="4"/>
      <c r="AA149" s="4"/>
      <c r="AB149" s="4"/>
    </row>
    <row r="150" spans="1:206">
      <c r="A150" s="4">
        <v>50</v>
      </c>
      <c r="B150" s="4">
        <v>0</v>
      </c>
      <c r="C150" s="4">
        <v>0</v>
      </c>
      <c r="D150" s="4">
        <v>1</v>
      </c>
      <c r="E150" s="4">
        <v>222</v>
      </c>
      <c r="F150" s="4">
        <f>ROUND(Source!AO146,O150)</f>
        <v>0</v>
      </c>
      <c r="G150" s="4" t="s">
        <v>88</v>
      </c>
      <c r="H150" s="4" t="s">
        <v>89</v>
      </c>
      <c r="I150" s="4"/>
      <c r="J150" s="4"/>
      <c r="K150" s="4">
        <v>222</v>
      </c>
      <c r="L150" s="4">
        <v>3</v>
      </c>
      <c r="M150" s="4">
        <v>3</v>
      </c>
      <c r="N150" s="4" t="s">
        <v>3</v>
      </c>
      <c r="O150" s="4">
        <v>2</v>
      </c>
      <c r="P150" s="4"/>
      <c r="Q150" s="4"/>
      <c r="R150" s="4"/>
      <c r="S150" s="4"/>
      <c r="T150" s="4"/>
      <c r="U150" s="4"/>
      <c r="V150" s="4"/>
      <c r="W150" s="4">
        <v>0</v>
      </c>
      <c r="X150" s="4">
        <v>1</v>
      </c>
      <c r="Y150" s="4">
        <v>0</v>
      </c>
      <c r="Z150" s="4"/>
      <c r="AA150" s="4"/>
      <c r="AB150" s="4"/>
    </row>
    <row r="151" spans="1:206">
      <c r="A151" s="4">
        <v>50</v>
      </c>
      <c r="B151" s="4">
        <v>0</v>
      </c>
      <c r="C151" s="4">
        <v>0</v>
      </c>
      <c r="D151" s="4">
        <v>1</v>
      </c>
      <c r="E151" s="4">
        <v>225</v>
      </c>
      <c r="F151" s="4">
        <f>ROUND(Source!AV146,O151)</f>
        <v>13816.27</v>
      </c>
      <c r="G151" s="4" t="s">
        <v>90</v>
      </c>
      <c r="H151" s="4" t="s">
        <v>91</v>
      </c>
      <c r="I151" s="4"/>
      <c r="J151" s="4"/>
      <c r="K151" s="4">
        <v>225</v>
      </c>
      <c r="L151" s="4">
        <v>4</v>
      </c>
      <c r="M151" s="4">
        <v>3</v>
      </c>
      <c r="N151" s="4" t="s">
        <v>3</v>
      </c>
      <c r="O151" s="4">
        <v>2</v>
      </c>
      <c r="P151" s="4"/>
      <c r="Q151" s="4"/>
      <c r="R151" s="4"/>
      <c r="S151" s="4"/>
      <c r="T151" s="4"/>
      <c r="U151" s="4"/>
      <c r="V151" s="4"/>
      <c r="W151" s="4">
        <v>13816.27</v>
      </c>
      <c r="X151" s="4">
        <v>1</v>
      </c>
      <c r="Y151" s="4">
        <v>0</v>
      </c>
      <c r="Z151" s="4"/>
      <c r="AA151" s="4"/>
      <c r="AB151" s="4"/>
    </row>
    <row r="152" spans="1:206">
      <c r="A152" s="4">
        <v>50</v>
      </c>
      <c r="B152" s="4">
        <v>0</v>
      </c>
      <c r="C152" s="4">
        <v>0</v>
      </c>
      <c r="D152" s="4">
        <v>1</v>
      </c>
      <c r="E152" s="4">
        <v>226</v>
      </c>
      <c r="F152" s="4">
        <f>ROUND(Source!AW146,O152)</f>
        <v>13816.27</v>
      </c>
      <c r="G152" s="4" t="s">
        <v>92</v>
      </c>
      <c r="H152" s="4" t="s">
        <v>93</v>
      </c>
      <c r="I152" s="4"/>
      <c r="J152" s="4"/>
      <c r="K152" s="4">
        <v>226</v>
      </c>
      <c r="L152" s="4">
        <v>5</v>
      </c>
      <c r="M152" s="4">
        <v>3</v>
      </c>
      <c r="N152" s="4" t="s">
        <v>3</v>
      </c>
      <c r="O152" s="4">
        <v>2</v>
      </c>
      <c r="P152" s="4"/>
      <c r="Q152" s="4"/>
      <c r="R152" s="4"/>
      <c r="S152" s="4"/>
      <c r="T152" s="4"/>
      <c r="U152" s="4"/>
      <c r="V152" s="4"/>
      <c r="W152" s="4">
        <v>13816.27</v>
      </c>
      <c r="X152" s="4">
        <v>1</v>
      </c>
      <c r="Y152" s="4">
        <v>71153.789999999994</v>
      </c>
      <c r="Z152" s="4"/>
      <c r="AA152" s="4"/>
      <c r="AB152" s="4"/>
    </row>
    <row r="153" spans="1:206">
      <c r="A153" s="4">
        <v>50</v>
      </c>
      <c r="B153" s="4">
        <v>0</v>
      </c>
      <c r="C153" s="4">
        <v>0</v>
      </c>
      <c r="D153" s="4">
        <v>1</v>
      </c>
      <c r="E153" s="4">
        <v>227</v>
      </c>
      <c r="F153" s="4">
        <f>ROUND(Source!AX146,O153)</f>
        <v>0</v>
      </c>
      <c r="G153" s="4" t="s">
        <v>94</v>
      </c>
      <c r="H153" s="4" t="s">
        <v>95</v>
      </c>
      <c r="I153" s="4"/>
      <c r="J153" s="4"/>
      <c r="K153" s="4">
        <v>227</v>
      </c>
      <c r="L153" s="4">
        <v>6</v>
      </c>
      <c r="M153" s="4">
        <v>3</v>
      </c>
      <c r="N153" s="4" t="s">
        <v>3</v>
      </c>
      <c r="O153" s="4">
        <v>2</v>
      </c>
      <c r="P153" s="4"/>
      <c r="Q153" s="4"/>
      <c r="R153" s="4"/>
      <c r="S153" s="4"/>
      <c r="T153" s="4"/>
      <c r="U153" s="4"/>
      <c r="V153" s="4"/>
      <c r="W153" s="4">
        <v>0</v>
      </c>
      <c r="X153" s="4">
        <v>1</v>
      </c>
      <c r="Y153" s="4">
        <v>0</v>
      </c>
      <c r="Z153" s="4"/>
      <c r="AA153" s="4"/>
      <c r="AB153" s="4"/>
    </row>
    <row r="154" spans="1:206">
      <c r="A154" s="4">
        <v>50</v>
      </c>
      <c r="B154" s="4">
        <v>0</v>
      </c>
      <c r="C154" s="4">
        <v>0</v>
      </c>
      <c r="D154" s="4">
        <v>1</v>
      </c>
      <c r="E154" s="4">
        <v>228</v>
      </c>
      <c r="F154" s="4">
        <f>ROUND(Source!AY146,O154)</f>
        <v>13816.27</v>
      </c>
      <c r="G154" s="4" t="s">
        <v>96</v>
      </c>
      <c r="H154" s="4" t="s">
        <v>97</v>
      </c>
      <c r="I154" s="4"/>
      <c r="J154" s="4"/>
      <c r="K154" s="4">
        <v>228</v>
      </c>
      <c r="L154" s="4">
        <v>7</v>
      </c>
      <c r="M154" s="4">
        <v>3</v>
      </c>
      <c r="N154" s="4" t="s">
        <v>3</v>
      </c>
      <c r="O154" s="4">
        <v>2</v>
      </c>
      <c r="P154" s="4"/>
      <c r="Q154" s="4"/>
      <c r="R154" s="4"/>
      <c r="S154" s="4"/>
      <c r="T154" s="4"/>
      <c r="U154" s="4"/>
      <c r="V154" s="4"/>
      <c r="W154" s="4">
        <v>13816.27</v>
      </c>
      <c r="X154" s="4">
        <v>1</v>
      </c>
      <c r="Y154" s="4">
        <v>71153.789999999994</v>
      </c>
      <c r="Z154" s="4"/>
      <c r="AA154" s="4"/>
      <c r="AB154" s="4"/>
    </row>
    <row r="155" spans="1:206">
      <c r="A155" s="4">
        <v>50</v>
      </c>
      <c r="B155" s="4">
        <v>0</v>
      </c>
      <c r="C155" s="4">
        <v>0</v>
      </c>
      <c r="D155" s="4">
        <v>1</v>
      </c>
      <c r="E155" s="4">
        <v>216</v>
      </c>
      <c r="F155" s="4">
        <f>ROUND(Source!AP146,O155)</f>
        <v>0</v>
      </c>
      <c r="G155" s="4" t="s">
        <v>98</v>
      </c>
      <c r="H155" s="4" t="s">
        <v>99</v>
      </c>
      <c r="I155" s="4"/>
      <c r="J155" s="4"/>
      <c r="K155" s="4">
        <v>216</v>
      </c>
      <c r="L155" s="4">
        <v>8</v>
      </c>
      <c r="M155" s="4">
        <v>3</v>
      </c>
      <c r="N155" s="4" t="s">
        <v>3</v>
      </c>
      <c r="O155" s="4">
        <v>2</v>
      </c>
      <c r="P155" s="4"/>
      <c r="Q155" s="4"/>
      <c r="R155" s="4"/>
      <c r="S155" s="4"/>
      <c r="T155" s="4"/>
      <c r="U155" s="4"/>
      <c r="V155" s="4"/>
      <c r="W155" s="4">
        <v>0</v>
      </c>
      <c r="X155" s="4">
        <v>1</v>
      </c>
      <c r="Y155" s="4">
        <v>0</v>
      </c>
      <c r="Z155" s="4"/>
      <c r="AA155" s="4"/>
      <c r="AB155" s="4"/>
    </row>
    <row r="156" spans="1:206">
      <c r="A156" s="4">
        <v>50</v>
      </c>
      <c r="B156" s="4">
        <v>0</v>
      </c>
      <c r="C156" s="4">
        <v>0</v>
      </c>
      <c r="D156" s="4">
        <v>1</v>
      </c>
      <c r="E156" s="4">
        <v>223</v>
      </c>
      <c r="F156" s="4">
        <f>ROUND(Source!AQ146,O156)</f>
        <v>0</v>
      </c>
      <c r="G156" s="4" t="s">
        <v>100</v>
      </c>
      <c r="H156" s="4" t="s">
        <v>101</v>
      </c>
      <c r="I156" s="4"/>
      <c r="J156" s="4"/>
      <c r="K156" s="4">
        <v>223</v>
      </c>
      <c r="L156" s="4">
        <v>9</v>
      </c>
      <c r="M156" s="4">
        <v>3</v>
      </c>
      <c r="N156" s="4" t="s">
        <v>3</v>
      </c>
      <c r="O156" s="4">
        <v>2</v>
      </c>
      <c r="P156" s="4"/>
      <c r="Q156" s="4"/>
      <c r="R156" s="4"/>
      <c r="S156" s="4"/>
      <c r="T156" s="4"/>
      <c r="U156" s="4"/>
      <c r="V156" s="4"/>
      <c r="W156" s="4">
        <v>0</v>
      </c>
      <c r="X156" s="4">
        <v>1</v>
      </c>
      <c r="Y156" s="4">
        <v>0</v>
      </c>
      <c r="Z156" s="4"/>
      <c r="AA156" s="4"/>
      <c r="AB156" s="4"/>
    </row>
    <row r="157" spans="1:206">
      <c r="A157" s="4">
        <v>50</v>
      </c>
      <c r="B157" s="4">
        <v>0</v>
      </c>
      <c r="C157" s="4">
        <v>0</v>
      </c>
      <c r="D157" s="4">
        <v>1</v>
      </c>
      <c r="E157" s="4">
        <v>229</v>
      </c>
      <c r="F157" s="4">
        <f>ROUND(Source!AZ146,O157)</f>
        <v>0</v>
      </c>
      <c r="G157" s="4" t="s">
        <v>102</v>
      </c>
      <c r="H157" s="4" t="s">
        <v>103</v>
      </c>
      <c r="I157" s="4"/>
      <c r="J157" s="4"/>
      <c r="K157" s="4">
        <v>229</v>
      </c>
      <c r="L157" s="4">
        <v>10</v>
      </c>
      <c r="M157" s="4">
        <v>3</v>
      </c>
      <c r="N157" s="4" t="s">
        <v>3</v>
      </c>
      <c r="O157" s="4">
        <v>2</v>
      </c>
      <c r="P157" s="4"/>
      <c r="Q157" s="4"/>
      <c r="R157" s="4"/>
      <c r="S157" s="4"/>
      <c r="T157" s="4"/>
      <c r="U157" s="4"/>
      <c r="V157" s="4"/>
      <c r="W157" s="4">
        <v>0</v>
      </c>
      <c r="X157" s="4">
        <v>1</v>
      </c>
      <c r="Y157" s="4">
        <v>0</v>
      </c>
      <c r="Z157" s="4"/>
      <c r="AA157" s="4"/>
      <c r="AB157" s="4"/>
    </row>
    <row r="158" spans="1:206">
      <c r="A158" s="4">
        <v>50</v>
      </c>
      <c r="B158" s="4">
        <v>0</v>
      </c>
      <c r="C158" s="4">
        <v>0</v>
      </c>
      <c r="D158" s="4">
        <v>1</v>
      </c>
      <c r="E158" s="4">
        <v>203</v>
      </c>
      <c r="F158" s="4">
        <f>ROUND(Source!Q146,O158)</f>
        <v>43123.48</v>
      </c>
      <c r="G158" s="4" t="s">
        <v>104</v>
      </c>
      <c r="H158" s="4" t="s">
        <v>105</v>
      </c>
      <c r="I158" s="4"/>
      <c r="J158" s="4"/>
      <c r="K158" s="4">
        <v>203</v>
      </c>
      <c r="L158" s="4">
        <v>11</v>
      </c>
      <c r="M158" s="4">
        <v>3</v>
      </c>
      <c r="N158" s="4" t="s">
        <v>3</v>
      </c>
      <c r="O158" s="4">
        <v>2</v>
      </c>
      <c r="P158" s="4"/>
      <c r="Q158" s="4"/>
      <c r="R158" s="4"/>
      <c r="S158" s="4"/>
      <c r="T158" s="4"/>
      <c r="U158" s="4"/>
      <c r="V158" s="4"/>
      <c r="W158" s="4">
        <v>43123.479999999996</v>
      </c>
      <c r="X158" s="4">
        <v>1</v>
      </c>
      <c r="Y158" s="4">
        <v>332913.27</v>
      </c>
      <c r="Z158" s="4"/>
      <c r="AA158" s="4"/>
      <c r="AB158" s="4"/>
    </row>
    <row r="159" spans="1:206">
      <c r="A159" s="4">
        <v>50</v>
      </c>
      <c r="B159" s="4">
        <v>0</v>
      </c>
      <c r="C159" s="4">
        <v>0</v>
      </c>
      <c r="D159" s="4">
        <v>1</v>
      </c>
      <c r="E159" s="4">
        <v>231</v>
      </c>
      <c r="F159" s="4">
        <f>ROUND(Source!BB146,O159)</f>
        <v>0</v>
      </c>
      <c r="G159" s="4" t="s">
        <v>106</v>
      </c>
      <c r="H159" s="4" t="s">
        <v>107</v>
      </c>
      <c r="I159" s="4"/>
      <c r="J159" s="4"/>
      <c r="K159" s="4">
        <v>231</v>
      </c>
      <c r="L159" s="4">
        <v>12</v>
      </c>
      <c r="M159" s="4">
        <v>3</v>
      </c>
      <c r="N159" s="4" t="s">
        <v>3</v>
      </c>
      <c r="O159" s="4">
        <v>2</v>
      </c>
      <c r="P159" s="4"/>
      <c r="Q159" s="4"/>
      <c r="R159" s="4"/>
      <c r="S159" s="4"/>
      <c r="T159" s="4"/>
      <c r="U159" s="4"/>
      <c r="V159" s="4"/>
      <c r="W159" s="4">
        <v>0</v>
      </c>
      <c r="X159" s="4">
        <v>1</v>
      </c>
      <c r="Y159" s="4">
        <v>0</v>
      </c>
      <c r="Z159" s="4"/>
      <c r="AA159" s="4"/>
      <c r="AB159" s="4"/>
    </row>
    <row r="160" spans="1:206">
      <c r="A160" s="4">
        <v>50</v>
      </c>
      <c r="B160" s="4">
        <v>0</v>
      </c>
      <c r="C160" s="4">
        <v>0</v>
      </c>
      <c r="D160" s="4">
        <v>1</v>
      </c>
      <c r="E160" s="4">
        <v>204</v>
      </c>
      <c r="F160" s="4">
        <f>ROUND(Source!R146,O160)</f>
        <v>676.23</v>
      </c>
      <c r="G160" s="4" t="s">
        <v>108</v>
      </c>
      <c r="H160" s="4" t="s">
        <v>109</v>
      </c>
      <c r="I160" s="4"/>
      <c r="J160" s="4"/>
      <c r="K160" s="4">
        <v>204</v>
      </c>
      <c r="L160" s="4">
        <v>13</v>
      </c>
      <c r="M160" s="4">
        <v>3</v>
      </c>
      <c r="N160" s="4" t="s">
        <v>3</v>
      </c>
      <c r="O160" s="4">
        <v>2</v>
      </c>
      <c r="P160" s="4"/>
      <c r="Q160" s="4"/>
      <c r="R160" s="4"/>
      <c r="S160" s="4"/>
      <c r="T160" s="4"/>
      <c r="U160" s="4"/>
      <c r="V160" s="4"/>
      <c r="W160" s="4">
        <v>676.23</v>
      </c>
      <c r="X160" s="4">
        <v>1</v>
      </c>
      <c r="Y160" s="4">
        <v>19563.330000000002</v>
      </c>
      <c r="Z160" s="4"/>
      <c r="AA160" s="4"/>
      <c r="AB160" s="4"/>
    </row>
    <row r="161" spans="1:28">
      <c r="A161" s="4">
        <v>50</v>
      </c>
      <c r="B161" s="4">
        <v>0</v>
      </c>
      <c r="C161" s="4">
        <v>0</v>
      </c>
      <c r="D161" s="4">
        <v>1</v>
      </c>
      <c r="E161" s="4">
        <v>205</v>
      </c>
      <c r="F161" s="4">
        <f>ROUND(Source!S146,O161)</f>
        <v>563.85</v>
      </c>
      <c r="G161" s="4" t="s">
        <v>110</v>
      </c>
      <c r="H161" s="4" t="s">
        <v>111</v>
      </c>
      <c r="I161" s="4"/>
      <c r="J161" s="4"/>
      <c r="K161" s="4">
        <v>205</v>
      </c>
      <c r="L161" s="4">
        <v>14</v>
      </c>
      <c r="M161" s="4">
        <v>3</v>
      </c>
      <c r="N161" s="4" t="s">
        <v>3</v>
      </c>
      <c r="O161" s="4">
        <v>2</v>
      </c>
      <c r="P161" s="4"/>
      <c r="Q161" s="4"/>
      <c r="R161" s="4"/>
      <c r="S161" s="4"/>
      <c r="T161" s="4"/>
      <c r="U161" s="4"/>
      <c r="V161" s="4"/>
      <c r="W161" s="4">
        <v>563.85</v>
      </c>
      <c r="X161" s="4">
        <v>1</v>
      </c>
      <c r="Y161" s="4">
        <v>16312.18</v>
      </c>
      <c r="Z161" s="4"/>
      <c r="AA161" s="4"/>
      <c r="AB161" s="4"/>
    </row>
    <row r="162" spans="1:28">
      <c r="A162" s="4">
        <v>50</v>
      </c>
      <c r="B162" s="4">
        <v>0</v>
      </c>
      <c r="C162" s="4">
        <v>0</v>
      </c>
      <c r="D162" s="4">
        <v>1</v>
      </c>
      <c r="E162" s="4">
        <v>232</v>
      </c>
      <c r="F162" s="4">
        <f>ROUND(Source!BC146,O162)</f>
        <v>0</v>
      </c>
      <c r="G162" s="4" t="s">
        <v>112</v>
      </c>
      <c r="H162" s="4" t="s">
        <v>113</v>
      </c>
      <c r="I162" s="4"/>
      <c r="J162" s="4"/>
      <c r="K162" s="4">
        <v>232</v>
      </c>
      <c r="L162" s="4">
        <v>15</v>
      </c>
      <c r="M162" s="4">
        <v>3</v>
      </c>
      <c r="N162" s="4" t="s">
        <v>3</v>
      </c>
      <c r="O162" s="4">
        <v>2</v>
      </c>
      <c r="P162" s="4"/>
      <c r="Q162" s="4"/>
      <c r="R162" s="4"/>
      <c r="S162" s="4"/>
      <c r="T162" s="4"/>
      <c r="U162" s="4"/>
      <c r="V162" s="4"/>
      <c r="W162" s="4">
        <v>0</v>
      </c>
      <c r="X162" s="4">
        <v>1</v>
      </c>
      <c r="Y162" s="4">
        <v>0</v>
      </c>
      <c r="Z162" s="4"/>
      <c r="AA162" s="4"/>
      <c r="AB162" s="4"/>
    </row>
    <row r="163" spans="1:28">
      <c r="A163" s="4">
        <v>50</v>
      </c>
      <c r="B163" s="4">
        <v>0</v>
      </c>
      <c r="C163" s="4">
        <v>0</v>
      </c>
      <c r="D163" s="4">
        <v>1</v>
      </c>
      <c r="E163" s="4">
        <v>214</v>
      </c>
      <c r="F163" s="4">
        <f>ROUND(Source!AS146,O163)</f>
        <v>46359.15</v>
      </c>
      <c r="G163" s="4" t="s">
        <v>114</v>
      </c>
      <c r="H163" s="4" t="s">
        <v>115</v>
      </c>
      <c r="I163" s="4"/>
      <c r="J163" s="4"/>
      <c r="K163" s="4">
        <v>214</v>
      </c>
      <c r="L163" s="4">
        <v>16</v>
      </c>
      <c r="M163" s="4">
        <v>3</v>
      </c>
      <c r="N163" s="4" t="s">
        <v>3</v>
      </c>
      <c r="O163" s="4">
        <v>2</v>
      </c>
      <c r="P163" s="4"/>
      <c r="Q163" s="4"/>
      <c r="R163" s="4"/>
      <c r="S163" s="4"/>
      <c r="T163" s="4"/>
      <c r="U163" s="4"/>
      <c r="V163" s="4"/>
      <c r="W163" s="4">
        <v>46359.15</v>
      </c>
      <c r="X163" s="4">
        <v>1</v>
      </c>
      <c r="Y163" s="4">
        <v>407513.81000000006</v>
      </c>
      <c r="Z163" s="4"/>
      <c r="AA163" s="4"/>
      <c r="AB163" s="4"/>
    </row>
    <row r="164" spans="1:28">
      <c r="A164" s="4">
        <v>50</v>
      </c>
      <c r="B164" s="4">
        <v>0</v>
      </c>
      <c r="C164" s="4">
        <v>0</v>
      </c>
      <c r="D164" s="4">
        <v>1</v>
      </c>
      <c r="E164" s="4">
        <v>215</v>
      </c>
      <c r="F164" s="4">
        <f>ROUND(Source!AT146,O164)</f>
        <v>13016.98</v>
      </c>
      <c r="G164" s="4" t="s">
        <v>116</v>
      </c>
      <c r="H164" s="4" t="s">
        <v>117</v>
      </c>
      <c r="I164" s="4"/>
      <c r="J164" s="4"/>
      <c r="K164" s="4">
        <v>215</v>
      </c>
      <c r="L164" s="4">
        <v>17</v>
      </c>
      <c r="M164" s="4">
        <v>3</v>
      </c>
      <c r="N164" s="4" t="s">
        <v>3</v>
      </c>
      <c r="O164" s="4">
        <v>2</v>
      </c>
      <c r="P164" s="4"/>
      <c r="Q164" s="4"/>
      <c r="R164" s="4"/>
      <c r="S164" s="4"/>
      <c r="T164" s="4"/>
      <c r="U164" s="4"/>
      <c r="V164" s="4"/>
      <c r="W164" s="4">
        <v>13016.98</v>
      </c>
      <c r="X164" s="4">
        <v>1</v>
      </c>
      <c r="Y164" s="4">
        <v>67037.45</v>
      </c>
      <c r="Z164" s="4"/>
      <c r="AA164" s="4"/>
      <c r="AB164" s="4"/>
    </row>
    <row r="165" spans="1:28">
      <c r="A165" s="4">
        <v>50</v>
      </c>
      <c r="B165" s="4">
        <v>0</v>
      </c>
      <c r="C165" s="4">
        <v>0</v>
      </c>
      <c r="D165" s="4">
        <v>1</v>
      </c>
      <c r="E165" s="4">
        <v>217</v>
      </c>
      <c r="F165" s="4">
        <f>ROUND(Source!AU146,O165)</f>
        <v>0</v>
      </c>
      <c r="G165" s="4" t="s">
        <v>118</v>
      </c>
      <c r="H165" s="4" t="s">
        <v>119</v>
      </c>
      <c r="I165" s="4"/>
      <c r="J165" s="4"/>
      <c r="K165" s="4">
        <v>217</v>
      </c>
      <c r="L165" s="4">
        <v>18</v>
      </c>
      <c r="M165" s="4">
        <v>3</v>
      </c>
      <c r="N165" s="4" t="s">
        <v>3</v>
      </c>
      <c r="O165" s="4">
        <v>2</v>
      </c>
      <c r="P165" s="4"/>
      <c r="Q165" s="4"/>
      <c r="R165" s="4"/>
      <c r="S165" s="4"/>
      <c r="T165" s="4"/>
      <c r="U165" s="4"/>
      <c r="V165" s="4"/>
      <c r="W165" s="4">
        <v>0</v>
      </c>
      <c r="X165" s="4">
        <v>1</v>
      </c>
      <c r="Y165" s="4">
        <v>0</v>
      </c>
      <c r="Z165" s="4"/>
      <c r="AA165" s="4"/>
      <c r="AB165" s="4"/>
    </row>
    <row r="166" spans="1:28">
      <c r="A166" s="4">
        <v>50</v>
      </c>
      <c r="B166" s="4">
        <v>0</v>
      </c>
      <c r="C166" s="4">
        <v>0</v>
      </c>
      <c r="D166" s="4">
        <v>1</v>
      </c>
      <c r="E166" s="4">
        <v>230</v>
      </c>
      <c r="F166" s="4">
        <f>ROUND(Source!BA146,O166)</f>
        <v>0</v>
      </c>
      <c r="G166" s="4" t="s">
        <v>120</v>
      </c>
      <c r="H166" s="4" t="s">
        <v>121</v>
      </c>
      <c r="I166" s="4"/>
      <c r="J166" s="4"/>
      <c r="K166" s="4">
        <v>230</v>
      </c>
      <c r="L166" s="4">
        <v>19</v>
      </c>
      <c r="M166" s="4">
        <v>3</v>
      </c>
      <c r="N166" s="4" t="s">
        <v>3</v>
      </c>
      <c r="O166" s="4">
        <v>2</v>
      </c>
      <c r="P166" s="4"/>
      <c r="Q166" s="4"/>
      <c r="R166" s="4"/>
      <c r="S166" s="4"/>
      <c r="T166" s="4"/>
      <c r="U166" s="4"/>
      <c r="V166" s="4"/>
      <c r="W166" s="4">
        <v>0</v>
      </c>
      <c r="X166" s="4">
        <v>1</v>
      </c>
      <c r="Y166" s="4">
        <v>0</v>
      </c>
      <c r="Z166" s="4"/>
      <c r="AA166" s="4"/>
      <c r="AB166" s="4"/>
    </row>
    <row r="167" spans="1:28">
      <c r="A167" s="4">
        <v>50</v>
      </c>
      <c r="B167" s="4">
        <v>0</v>
      </c>
      <c r="C167" s="4">
        <v>0</v>
      </c>
      <c r="D167" s="4">
        <v>1</v>
      </c>
      <c r="E167" s="4">
        <v>206</v>
      </c>
      <c r="F167" s="4">
        <f>ROUND(Source!T146,O167)</f>
        <v>0</v>
      </c>
      <c r="G167" s="4" t="s">
        <v>122</v>
      </c>
      <c r="H167" s="4" t="s">
        <v>123</v>
      </c>
      <c r="I167" s="4"/>
      <c r="J167" s="4"/>
      <c r="K167" s="4">
        <v>206</v>
      </c>
      <c r="L167" s="4">
        <v>20</v>
      </c>
      <c r="M167" s="4">
        <v>3</v>
      </c>
      <c r="N167" s="4" t="s">
        <v>3</v>
      </c>
      <c r="O167" s="4">
        <v>2</v>
      </c>
      <c r="P167" s="4"/>
      <c r="Q167" s="4"/>
      <c r="R167" s="4"/>
      <c r="S167" s="4"/>
      <c r="T167" s="4"/>
      <c r="U167" s="4"/>
      <c r="V167" s="4"/>
      <c r="W167" s="4">
        <v>0</v>
      </c>
      <c r="X167" s="4">
        <v>1</v>
      </c>
      <c r="Y167" s="4">
        <v>0</v>
      </c>
      <c r="Z167" s="4"/>
      <c r="AA167" s="4"/>
      <c r="AB167" s="4"/>
    </row>
    <row r="168" spans="1:28">
      <c r="A168" s="4">
        <v>50</v>
      </c>
      <c r="B168" s="4">
        <v>0</v>
      </c>
      <c r="C168" s="4">
        <v>0</v>
      </c>
      <c r="D168" s="4">
        <v>1</v>
      </c>
      <c r="E168" s="4">
        <v>207</v>
      </c>
      <c r="F168" s="4">
        <f>Source!U146</f>
        <v>57.322084959999998</v>
      </c>
      <c r="G168" s="4" t="s">
        <v>124</v>
      </c>
      <c r="H168" s="4" t="s">
        <v>125</v>
      </c>
      <c r="I168" s="4"/>
      <c r="J168" s="4"/>
      <c r="K168" s="4">
        <v>207</v>
      </c>
      <c r="L168" s="4">
        <v>21</v>
      </c>
      <c r="M168" s="4">
        <v>3</v>
      </c>
      <c r="N168" s="4" t="s">
        <v>3</v>
      </c>
      <c r="O168" s="4">
        <v>-1</v>
      </c>
      <c r="P168" s="4"/>
      <c r="Q168" s="4"/>
      <c r="R168" s="4"/>
      <c r="S168" s="4"/>
      <c r="T168" s="4"/>
      <c r="U168" s="4"/>
      <c r="V168" s="4"/>
      <c r="W168" s="4">
        <v>57.322085000000001</v>
      </c>
      <c r="X168" s="4">
        <v>1</v>
      </c>
      <c r="Y168" s="4">
        <v>57.322085000000001</v>
      </c>
      <c r="Z168" s="4"/>
      <c r="AA168" s="4"/>
      <c r="AB168" s="4"/>
    </row>
    <row r="169" spans="1:28">
      <c r="A169" s="4">
        <v>50</v>
      </c>
      <c r="B169" s="4">
        <v>0</v>
      </c>
      <c r="C169" s="4">
        <v>0</v>
      </c>
      <c r="D169" s="4">
        <v>1</v>
      </c>
      <c r="E169" s="4">
        <v>208</v>
      </c>
      <c r="F169" s="4">
        <f>Source!V146</f>
        <v>50.976437120000014</v>
      </c>
      <c r="G169" s="4" t="s">
        <v>126</v>
      </c>
      <c r="H169" s="4" t="s">
        <v>127</v>
      </c>
      <c r="I169" s="4"/>
      <c r="J169" s="4"/>
      <c r="K169" s="4">
        <v>208</v>
      </c>
      <c r="L169" s="4">
        <v>22</v>
      </c>
      <c r="M169" s="4">
        <v>3</v>
      </c>
      <c r="N169" s="4" t="s">
        <v>3</v>
      </c>
      <c r="O169" s="4">
        <v>-1</v>
      </c>
      <c r="P169" s="4"/>
      <c r="Q169" s="4"/>
      <c r="R169" s="4"/>
      <c r="S169" s="4"/>
      <c r="T169" s="4"/>
      <c r="U169" s="4"/>
      <c r="V169" s="4"/>
      <c r="W169" s="4">
        <v>50.976437099999998</v>
      </c>
      <c r="X169" s="4">
        <v>1</v>
      </c>
      <c r="Y169" s="4">
        <v>50.976437099999998</v>
      </c>
      <c r="Z169" s="4"/>
      <c r="AA169" s="4"/>
      <c r="AB169" s="4"/>
    </row>
    <row r="170" spans="1:28">
      <c r="A170" s="4">
        <v>50</v>
      </c>
      <c r="B170" s="4">
        <v>0</v>
      </c>
      <c r="C170" s="4">
        <v>0</v>
      </c>
      <c r="D170" s="4">
        <v>1</v>
      </c>
      <c r="E170" s="4">
        <v>209</v>
      </c>
      <c r="F170" s="4">
        <f>ROUND(Source!W146,O170)</f>
        <v>0</v>
      </c>
      <c r="G170" s="4" t="s">
        <v>128</v>
      </c>
      <c r="H170" s="4" t="s">
        <v>129</v>
      </c>
      <c r="I170" s="4"/>
      <c r="J170" s="4"/>
      <c r="K170" s="4">
        <v>209</v>
      </c>
      <c r="L170" s="4">
        <v>23</v>
      </c>
      <c r="M170" s="4">
        <v>3</v>
      </c>
      <c r="N170" s="4" t="s">
        <v>3</v>
      </c>
      <c r="O170" s="4">
        <v>2</v>
      </c>
      <c r="P170" s="4"/>
      <c r="Q170" s="4"/>
      <c r="R170" s="4"/>
      <c r="S170" s="4"/>
      <c r="T170" s="4"/>
      <c r="U170" s="4"/>
      <c r="V170" s="4"/>
      <c r="W170" s="4">
        <v>0</v>
      </c>
      <c r="X170" s="4">
        <v>1</v>
      </c>
      <c r="Y170" s="4">
        <v>0</v>
      </c>
      <c r="Z170" s="4"/>
      <c r="AA170" s="4"/>
      <c r="AB170" s="4"/>
    </row>
    <row r="171" spans="1:28">
      <c r="A171" s="4">
        <v>50</v>
      </c>
      <c r="B171" s="4">
        <v>0</v>
      </c>
      <c r="C171" s="4">
        <v>0</v>
      </c>
      <c r="D171" s="4">
        <v>1</v>
      </c>
      <c r="E171" s="4">
        <v>233</v>
      </c>
      <c r="F171" s="4">
        <f>ROUND(Source!BD146,O171)</f>
        <v>0</v>
      </c>
      <c r="G171" s="4" t="s">
        <v>130</v>
      </c>
      <c r="H171" s="4" t="s">
        <v>131</v>
      </c>
      <c r="I171" s="4"/>
      <c r="J171" s="4"/>
      <c r="K171" s="4">
        <v>233</v>
      </c>
      <c r="L171" s="4">
        <v>24</v>
      </c>
      <c r="M171" s="4">
        <v>3</v>
      </c>
      <c r="N171" s="4" t="s">
        <v>3</v>
      </c>
      <c r="O171" s="4">
        <v>2</v>
      </c>
      <c r="P171" s="4"/>
      <c r="Q171" s="4"/>
      <c r="R171" s="4"/>
      <c r="S171" s="4"/>
      <c r="T171" s="4"/>
      <c r="U171" s="4"/>
      <c r="V171" s="4"/>
      <c r="W171" s="4">
        <v>0</v>
      </c>
      <c r="X171" s="4">
        <v>1</v>
      </c>
      <c r="Y171" s="4">
        <v>0</v>
      </c>
      <c r="Z171" s="4"/>
      <c r="AA171" s="4"/>
      <c r="AB171" s="4"/>
    </row>
    <row r="172" spans="1:28">
      <c r="A172" s="4">
        <v>50</v>
      </c>
      <c r="B172" s="4">
        <v>0</v>
      </c>
      <c r="C172" s="4">
        <v>0</v>
      </c>
      <c r="D172" s="4">
        <v>1</v>
      </c>
      <c r="E172" s="4">
        <v>0</v>
      </c>
      <c r="F172" s="4">
        <f>ROUND(Source!X146,O172)</f>
        <v>1314.49</v>
      </c>
      <c r="G172" s="4" t="s">
        <v>132</v>
      </c>
      <c r="H172" s="4" t="s">
        <v>133</v>
      </c>
      <c r="I172" s="4"/>
      <c r="J172" s="4"/>
      <c r="K172" s="4">
        <v>210</v>
      </c>
      <c r="L172" s="4">
        <v>25</v>
      </c>
      <c r="M172" s="4">
        <v>3</v>
      </c>
      <c r="N172" s="4" t="s">
        <v>3</v>
      </c>
      <c r="O172" s="4">
        <v>2</v>
      </c>
      <c r="P172" s="4"/>
      <c r="Q172" s="4"/>
      <c r="R172" s="4"/>
      <c r="S172" s="4"/>
      <c r="T172" s="4"/>
      <c r="U172" s="4"/>
      <c r="V172" s="4"/>
      <c r="W172" s="4">
        <v>1314.49</v>
      </c>
      <c r="X172" s="4">
        <v>1</v>
      </c>
      <c r="Y172" s="4">
        <v>38028.04</v>
      </c>
      <c r="Z172" s="4"/>
      <c r="AA172" s="4"/>
      <c r="AB172" s="4"/>
    </row>
    <row r="173" spans="1:28">
      <c r="A173" s="4">
        <v>50</v>
      </c>
      <c r="B173" s="4">
        <v>0</v>
      </c>
      <c r="C173" s="4">
        <v>0</v>
      </c>
      <c r="D173" s="4">
        <v>1</v>
      </c>
      <c r="E173" s="4">
        <v>0</v>
      </c>
      <c r="F173" s="4">
        <f>ROUND(Source!Y146,O173)</f>
        <v>558.04</v>
      </c>
      <c r="G173" s="4" t="s">
        <v>134</v>
      </c>
      <c r="H173" s="4" t="s">
        <v>135</v>
      </c>
      <c r="I173" s="4"/>
      <c r="J173" s="4"/>
      <c r="K173" s="4">
        <v>211</v>
      </c>
      <c r="L173" s="4">
        <v>26</v>
      </c>
      <c r="M173" s="4">
        <v>3</v>
      </c>
      <c r="N173" s="4" t="s">
        <v>3</v>
      </c>
      <c r="O173" s="4">
        <v>2</v>
      </c>
      <c r="P173" s="4"/>
      <c r="Q173" s="4"/>
      <c r="R173" s="4"/>
      <c r="S173" s="4"/>
      <c r="T173" s="4"/>
      <c r="U173" s="4"/>
      <c r="V173" s="4"/>
      <c r="W173" s="4">
        <v>558.04</v>
      </c>
      <c r="X173" s="4">
        <v>1</v>
      </c>
      <c r="Y173" s="4">
        <v>16143.98</v>
      </c>
      <c r="Z173" s="4"/>
      <c r="AA173" s="4"/>
      <c r="AB173" s="4"/>
    </row>
    <row r="174" spans="1:28">
      <c r="A174" s="4">
        <v>50</v>
      </c>
      <c r="B174" s="4">
        <v>0</v>
      </c>
      <c r="C174" s="4">
        <v>0</v>
      </c>
      <c r="D174" s="4">
        <v>1</v>
      </c>
      <c r="E174" s="4">
        <v>224</v>
      </c>
      <c r="F174" s="4">
        <f>ROUND(Source!AR146,O174)</f>
        <v>59376.13</v>
      </c>
      <c r="G174" s="4" t="s">
        <v>136</v>
      </c>
      <c r="H174" s="4" t="s">
        <v>137</v>
      </c>
      <c r="I174" s="4"/>
      <c r="J174" s="4"/>
      <c r="K174" s="4">
        <v>224</v>
      </c>
      <c r="L174" s="4">
        <v>27</v>
      </c>
      <c r="M174" s="4">
        <v>3</v>
      </c>
      <c r="N174" s="4" t="s">
        <v>3</v>
      </c>
      <c r="O174" s="4">
        <v>2</v>
      </c>
      <c r="P174" s="4"/>
      <c r="Q174" s="4"/>
      <c r="R174" s="4"/>
      <c r="S174" s="4"/>
      <c r="T174" s="4"/>
      <c r="U174" s="4"/>
      <c r="V174" s="4"/>
      <c r="W174" s="4">
        <v>59376.13</v>
      </c>
      <c r="X174" s="4">
        <v>1</v>
      </c>
      <c r="Y174" s="4">
        <v>474551.25999999995</v>
      </c>
      <c r="Z174" s="4"/>
      <c r="AA174" s="4"/>
      <c r="AB174" s="4"/>
    </row>
    <row r="175" spans="1:28">
      <c r="A175" s="4">
        <v>50</v>
      </c>
      <c r="B175" s="4">
        <v>1</v>
      </c>
      <c r="C175" s="4">
        <v>0</v>
      </c>
      <c r="D175" s="4">
        <v>2</v>
      </c>
      <c r="E175" s="4">
        <v>201</v>
      </c>
      <c r="F175" s="4">
        <f>ROUND(ROUND(F148,0),O175)</f>
        <v>57504</v>
      </c>
      <c r="G175" s="4" t="s">
        <v>138</v>
      </c>
      <c r="H175" s="4" t="s">
        <v>139</v>
      </c>
      <c r="I175" s="4"/>
      <c r="J175" s="4"/>
      <c r="K175" s="4">
        <v>212</v>
      </c>
      <c r="L175" s="4">
        <v>28</v>
      </c>
      <c r="M175" s="4">
        <v>0</v>
      </c>
      <c r="N175" s="4" t="s">
        <v>3</v>
      </c>
      <c r="O175" s="4">
        <v>0</v>
      </c>
      <c r="P175" s="4"/>
      <c r="Q175" s="4"/>
      <c r="R175" s="4"/>
      <c r="S175" s="4"/>
      <c r="T175" s="4"/>
      <c r="U175" s="4"/>
      <c r="V175" s="4"/>
      <c r="W175" s="4">
        <v>57504</v>
      </c>
      <c r="X175" s="4">
        <v>1</v>
      </c>
      <c r="Y175" s="4">
        <v>420379</v>
      </c>
      <c r="Z175" s="4"/>
      <c r="AA175" s="4"/>
      <c r="AB175" s="4"/>
    </row>
    <row r="176" spans="1:28">
      <c r="A176" s="4">
        <v>50</v>
      </c>
      <c r="B176" s="4">
        <v>1</v>
      </c>
      <c r="C176" s="4">
        <v>0</v>
      </c>
      <c r="D176" s="4">
        <v>2</v>
      </c>
      <c r="E176" s="4">
        <v>210</v>
      </c>
      <c r="F176" s="4">
        <f>ROUND(ROUND(F172,0),O176)</f>
        <v>1314</v>
      </c>
      <c r="G176" s="4" t="s">
        <v>140</v>
      </c>
      <c r="H176" s="4" t="s">
        <v>133</v>
      </c>
      <c r="I176" s="4"/>
      <c r="J176" s="4"/>
      <c r="K176" s="4">
        <v>212</v>
      </c>
      <c r="L176" s="4">
        <v>29</v>
      </c>
      <c r="M176" s="4">
        <v>0</v>
      </c>
      <c r="N176" s="4" t="s">
        <v>3</v>
      </c>
      <c r="O176" s="4">
        <v>0</v>
      </c>
      <c r="P176" s="4"/>
      <c r="Q176" s="4"/>
      <c r="R176" s="4"/>
      <c r="S176" s="4"/>
      <c r="T176" s="4"/>
      <c r="U176" s="4"/>
      <c r="V176" s="4"/>
      <c r="W176" s="4">
        <v>1314</v>
      </c>
      <c r="X176" s="4">
        <v>1</v>
      </c>
      <c r="Y176" s="4">
        <v>38028</v>
      </c>
      <c r="Z176" s="4"/>
      <c r="AA176" s="4"/>
      <c r="AB176" s="4"/>
    </row>
    <row r="177" spans="1:245">
      <c r="A177" s="4">
        <v>50</v>
      </c>
      <c r="B177" s="4">
        <v>1</v>
      </c>
      <c r="C177" s="4">
        <v>0</v>
      </c>
      <c r="D177" s="4">
        <v>2</v>
      </c>
      <c r="E177" s="4">
        <v>211</v>
      </c>
      <c r="F177" s="4">
        <f>ROUND(ROUND(F173,0),O177)</f>
        <v>558</v>
      </c>
      <c r="G177" s="4" t="s">
        <v>141</v>
      </c>
      <c r="H177" s="4" t="s">
        <v>135</v>
      </c>
      <c r="I177" s="4"/>
      <c r="J177" s="4"/>
      <c r="K177" s="4">
        <v>212</v>
      </c>
      <c r="L177" s="4">
        <v>30</v>
      </c>
      <c r="M177" s="4">
        <v>0</v>
      </c>
      <c r="N177" s="4" t="s">
        <v>3</v>
      </c>
      <c r="O177" s="4">
        <v>0</v>
      </c>
      <c r="P177" s="4"/>
      <c r="Q177" s="4"/>
      <c r="R177" s="4"/>
      <c r="S177" s="4"/>
      <c r="T177" s="4"/>
      <c r="U177" s="4"/>
      <c r="V177" s="4"/>
      <c r="W177" s="4">
        <v>558</v>
      </c>
      <c r="X177" s="4">
        <v>1</v>
      </c>
      <c r="Y177" s="4">
        <v>16144</v>
      </c>
      <c r="Z177" s="4"/>
      <c r="AA177" s="4"/>
      <c r="AB177" s="4"/>
    </row>
    <row r="178" spans="1:245">
      <c r="A178" s="4">
        <v>50</v>
      </c>
      <c r="B178" s="4">
        <v>1</v>
      </c>
      <c r="C178" s="4">
        <v>0</v>
      </c>
      <c r="D178" s="4">
        <v>2</v>
      </c>
      <c r="E178" s="4">
        <v>0</v>
      </c>
      <c r="F178" s="4">
        <f>ROUND(F175+F176+F177,O178)</f>
        <v>59376</v>
      </c>
      <c r="G178" s="4" t="s">
        <v>142</v>
      </c>
      <c r="H178" s="4" t="s">
        <v>143</v>
      </c>
      <c r="I178" s="4"/>
      <c r="J178" s="4"/>
      <c r="K178" s="4">
        <v>212</v>
      </c>
      <c r="L178" s="4">
        <v>31</v>
      </c>
      <c r="M178" s="4">
        <v>0</v>
      </c>
      <c r="N178" s="4" t="s">
        <v>3</v>
      </c>
      <c r="O178" s="4">
        <v>2</v>
      </c>
      <c r="P178" s="4"/>
      <c r="Q178" s="4"/>
      <c r="R178" s="4"/>
      <c r="S178" s="4"/>
      <c r="T178" s="4"/>
      <c r="U178" s="4"/>
      <c r="V178" s="4"/>
      <c r="W178" s="4">
        <v>59376</v>
      </c>
      <c r="X178" s="4">
        <v>1</v>
      </c>
      <c r="Y178" s="4">
        <v>474551</v>
      </c>
      <c r="Z178" s="4"/>
      <c r="AA178" s="4"/>
      <c r="AB178" s="4"/>
    </row>
    <row r="179" spans="1:245">
      <c r="A179" s="4">
        <v>50</v>
      </c>
      <c r="B179" s="4">
        <v>1</v>
      </c>
      <c r="C179" s="4">
        <v>0</v>
      </c>
      <c r="D179" s="4">
        <v>2</v>
      </c>
      <c r="E179" s="4">
        <v>0</v>
      </c>
      <c r="F179" s="4">
        <v>46359.15</v>
      </c>
      <c r="G179" s="4" t="s">
        <v>144</v>
      </c>
      <c r="H179" s="4" t="s">
        <v>145</v>
      </c>
      <c r="I179" s="4"/>
      <c r="J179" s="4"/>
      <c r="K179" s="4">
        <v>212</v>
      </c>
      <c r="L179" s="4">
        <v>32</v>
      </c>
      <c r="M179" s="4">
        <v>1</v>
      </c>
      <c r="N179" s="4" t="s">
        <v>3</v>
      </c>
      <c r="O179" s="4">
        <v>2</v>
      </c>
      <c r="P179" s="4"/>
      <c r="Q179" s="4"/>
      <c r="R179" s="4"/>
      <c r="S179" s="4"/>
      <c r="T179" s="4"/>
      <c r="U179" s="4"/>
      <c r="V179" s="4"/>
      <c r="W179" s="4">
        <v>46359.15</v>
      </c>
      <c r="X179" s="4">
        <v>1</v>
      </c>
      <c r="Y179" s="4">
        <v>46359.15</v>
      </c>
      <c r="Z179" s="4"/>
      <c r="AA179" s="4"/>
      <c r="AB179" s="4"/>
    </row>
    <row r="180" spans="1:245">
      <c r="A180" s="4">
        <v>50</v>
      </c>
      <c r="B180" s="4">
        <v>1</v>
      </c>
      <c r="C180" s="4">
        <v>0</v>
      </c>
      <c r="D180" s="4">
        <v>2</v>
      </c>
      <c r="E180" s="4">
        <v>0</v>
      </c>
      <c r="F180" s="4">
        <v>13016.98</v>
      </c>
      <c r="G180" s="4" t="s">
        <v>146</v>
      </c>
      <c r="H180" s="4" t="s">
        <v>147</v>
      </c>
      <c r="I180" s="4"/>
      <c r="J180" s="4"/>
      <c r="K180" s="4">
        <v>212</v>
      </c>
      <c r="L180" s="4">
        <v>33</v>
      </c>
      <c r="M180" s="4">
        <v>1</v>
      </c>
      <c r="N180" s="4" t="s">
        <v>3</v>
      </c>
      <c r="O180" s="4">
        <v>2</v>
      </c>
      <c r="P180" s="4"/>
      <c r="Q180" s="4"/>
      <c r="R180" s="4"/>
      <c r="S180" s="4"/>
      <c r="T180" s="4"/>
      <c r="U180" s="4"/>
      <c r="V180" s="4"/>
      <c r="W180" s="4">
        <v>13016.98</v>
      </c>
      <c r="X180" s="4">
        <v>1</v>
      </c>
      <c r="Y180" s="4">
        <v>13016.98</v>
      </c>
      <c r="Z180" s="4"/>
      <c r="AA180" s="4"/>
      <c r="AB180" s="4"/>
    </row>
    <row r="181" spans="1:245">
      <c r="A181" s="4">
        <v>50</v>
      </c>
      <c r="B181" s="4">
        <v>0</v>
      </c>
      <c r="C181" s="4">
        <v>0</v>
      </c>
      <c r="D181" s="4">
        <v>2</v>
      </c>
      <c r="E181" s="4">
        <v>0</v>
      </c>
      <c r="F181" s="4">
        <v>0</v>
      </c>
      <c r="G181" s="4" t="s">
        <v>148</v>
      </c>
      <c r="H181" s="4" t="s">
        <v>149</v>
      </c>
      <c r="I181" s="4"/>
      <c r="J181" s="4"/>
      <c r="K181" s="4">
        <v>212</v>
      </c>
      <c r="L181" s="4">
        <v>34</v>
      </c>
      <c r="M181" s="4">
        <v>1</v>
      </c>
      <c r="N181" s="4" t="s">
        <v>3</v>
      </c>
      <c r="O181" s="4">
        <v>2</v>
      </c>
      <c r="P181" s="4"/>
      <c r="Q181" s="4"/>
      <c r="R181" s="4"/>
      <c r="S181" s="4"/>
      <c r="T181" s="4"/>
      <c r="U181" s="4"/>
      <c r="V181" s="4"/>
      <c r="W181" s="4">
        <v>0</v>
      </c>
      <c r="X181" s="4">
        <v>1</v>
      </c>
      <c r="Y181" s="4">
        <v>0</v>
      </c>
      <c r="Z181" s="4"/>
      <c r="AA181" s="4"/>
      <c r="AB181" s="4"/>
    </row>
    <row r="182" spans="1:245">
      <c r="A182" s="4">
        <v>50</v>
      </c>
      <c r="B182" s="4">
        <v>0</v>
      </c>
      <c r="C182" s="4">
        <v>0</v>
      </c>
      <c r="D182" s="4">
        <v>2</v>
      </c>
      <c r="E182" s="4">
        <v>0</v>
      </c>
      <c r="F182" s="4">
        <v>0</v>
      </c>
      <c r="G182" s="4" t="s">
        <v>150</v>
      </c>
      <c r="H182" s="4" t="s">
        <v>151</v>
      </c>
      <c r="I182" s="4"/>
      <c r="J182" s="4"/>
      <c r="K182" s="4">
        <v>212</v>
      </c>
      <c r="L182" s="4">
        <v>35</v>
      </c>
      <c r="M182" s="4">
        <v>1</v>
      </c>
      <c r="N182" s="4" t="s">
        <v>3</v>
      </c>
      <c r="O182" s="4">
        <v>2</v>
      </c>
      <c r="P182" s="4"/>
      <c r="Q182" s="4"/>
      <c r="R182" s="4"/>
      <c r="S182" s="4"/>
      <c r="T182" s="4"/>
      <c r="U182" s="4"/>
      <c r="V182" s="4"/>
      <c r="W182" s="4">
        <v>0</v>
      </c>
      <c r="X182" s="4">
        <v>1</v>
      </c>
      <c r="Y182" s="4">
        <v>0</v>
      </c>
      <c r="Z182" s="4"/>
      <c r="AA182" s="4"/>
      <c r="AB182" s="4"/>
    </row>
    <row r="183" spans="1:245">
      <c r="A183" s="4">
        <v>50</v>
      </c>
      <c r="B183" s="4">
        <f>IF(Source!F183=0,1,0)</f>
        <v>1</v>
      </c>
      <c r="C183" s="4">
        <v>0</v>
      </c>
      <c r="D183" s="4">
        <v>2</v>
      </c>
      <c r="E183" s="4">
        <v>0</v>
      </c>
      <c r="F183" s="4">
        <f>ROUND(ROUND((F178-F179-F180-F181-F182),0),O183)</f>
        <v>0</v>
      </c>
      <c r="G183" s="4" t="s">
        <v>152</v>
      </c>
      <c r="H183" s="4" t="s">
        <v>153</v>
      </c>
      <c r="I183" s="4"/>
      <c r="J183" s="4"/>
      <c r="K183" s="4">
        <v>212</v>
      </c>
      <c r="L183" s="4">
        <v>36</v>
      </c>
      <c r="M183" s="4">
        <v>2</v>
      </c>
      <c r="N183" s="4" t="s">
        <v>3</v>
      </c>
      <c r="O183" s="4">
        <v>0</v>
      </c>
      <c r="P183" s="4"/>
      <c r="Q183" s="4"/>
      <c r="R183" s="4"/>
      <c r="S183" s="4"/>
      <c r="T183" s="4"/>
      <c r="U183" s="4"/>
      <c r="V183" s="4"/>
      <c r="W183" s="4">
        <v>0</v>
      </c>
      <c r="X183" s="4">
        <v>1</v>
      </c>
      <c r="Y183" s="4">
        <v>415175</v>
      </c>
      <c r="Z183" s="4"/>
      <c r="AA183" s="4"/>
      <c r="AB183" s="4"/>
    </row>
    <row r="185" spans="1:245">
      <c r="A185" s="1">
        <v>4</v>
      </c>
      <c r="B185" s="1">
        <v>1</v>
      </c>
      <c r="C185" s="1"/>
      <c r="D185" s="1">
        <f>ROW(A212)</f>
        <v>212</v>
      </c>
      <c r="E185" s="1"/>
      <c r="F185" s="1" t="s">
        <v>13</v>
      </c>
      <c r="G185" s="1" t="s">
        <v>247</v>
      </c>
      <c r="H185" s="1" t="s">
        <v>3</v>
      </c>
      <c r="I185" s="1">
        <v>0</v>
      </c>
      <c r="J185" s="1"/>
      <c r="K185" s="1">
        <v>0</v>
      </c>
      <c r="L185" s="1"/>
      <c r="M185" s="1" t="s">
        <v>3</v>
      </c>
      <c r="N185" s="1"/>
      <c r="O185" s="1"/>
      <c r="P185" s="1"/>
      <c r="Q185" s="1"/>
      <c r="R185" s="1"/>
      <c r="S185" s="1">
        <v>47920235</v>
      </c>
      <c r="T185" s="1"/>
      <c r="U185" s="1" t="s">
        <v>3</v>
      </c>
      <c r="V185" s="1">
        <v>0</v>
      </c>
      <c r="W185" s="1"/>
      <c r="X185" s="1"/>
      <c r="Y185" s="1"/>
      <c r="Z185" s="1"/>
      <c r="AA185" s="1"/>
      <c r="AB185" s="1" t="s">
        <v>3</v>
      </c>
      <c r="AC185" s="1" t="s">
        <v>3</v>
      </c>
      <c r="AD185" s="1" t="s">
        <v>3</v>
      </c>
      <c r="AE185" s="1" t="s">
        <v>3</v>
      </c>
      <c r="AF185" s="1" t="s">
        <v>3</v>
      </c>
      <c r="AG185" s="1" t="s">
        <v>3</v>
      </c>
      <c r="AH185" s="1"/>
      <c r="AI185" s="1"/>
      <c r="AJ185" s="1"/>
      <c r="AK185" s="1"/>
      <c r="AL185" s="1"/>
      <c r="AM185" s="1"/>
      <c r="AN185" s="1"/>
      <c r="AO185" s="1"/>
      <c r="AP185" s="1" t="s">
        <v>3</v>
      </c>
      <c r="AQ185" s="1" t="s">
        <v>3</v>
      </c>
      <c r="AR185" s="1" t="s">
        <v>3</v>
      </c>
      <c r="AS185" s="1"/>
      <c r="AT185" s="1"/>
      <c r="AU185" s="1"/>
      <c r="AV185" s="1"/>
      <c r="AW185" s="1"/>
      <c r="AX185" s="1"/>
      <c r="AY185" s="1"/>
      <c r="AZ185" s="1" t="s">
        <v>3</v>
      </c>
      <c r="BA185" s="1"/>
      <c r="BB185" s="1" t="s">
        <v>3</v>
      </c>
      <c r="BC185" s="1" t="s">
        <v>3</v>
      </c>
      <c r="BD185" s="1" t="s">
        <v>3</v>
      </c>
      <c r="BE185" s="1" t="s">
        <v>3</v>
      </c>
      <c r="BF185" s="1" t="s">
        <v>3</v>
      </c>
      <c r="BG185" s="1" t="s">
        <v>3</v>
      </c>
      <c r="BH185" s="1" t="s">
        <v>3</v>
      </c>
      <c r="BI185" s="1" t="s">
        <v>3</v>
      </c>
      <c r="BJ185" s="1" t="s">
        <v>3</v>
      </c>
      <c r="BK185" s="1" t="s">
        <v>3</v>
      </c>
      <c r="BL185" s="1" t="s">
        <v>3</v>
      </c>
      <c r="BM185" s="1" t="s">
        <v>3</v>
      </c>
      <c r="BN185" s="1" t="s">
        <v>3</v>
      </c>
      <c r="BO185" s="1" t="s">
        <v>3</v>
      </c>
      <c r="BP185" s="1" t="s">
        <v>3</v>
      </c>
      <c r="BQ185" s="1"/>
      <c r="BR185" s="1"/>
      <c r="BS185" s="1"/>
      <c r="BT185" s="1"/>
      <c r="BU185" s="1"/>
      <c r="BV185" s="1"/>
      <c r="BW185" s="1"/>
      <c r="BX185" s="1">
        <v>0</v>
      </c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>
        <v>0</v>
      </c>
    </row>
    <row r="187" spans="1:245">
      <c r="A187" s="2">
        <v>52</v>
      </c>
      <c r="B187" s="2">
        <f t="shared" ref="B187:G187" si="128">B212</f>
        <v>1</v>
      </c>
      <c r="C187" s="2">
        <f t="shared" si="128"/>
        <v>4</v>
      </c>
      <c r="D187" s="2">
        <f t="shared" si="128"/>
        <v>185</v>
      </c>
      <c r="E187" s="2">
        <f t="shared" si="128"/>
        <v>0</v>
      </c>
      <c r="F187" s="2" t="str">
        <f t="shared" si="128"/>
        <v>Новый раздел</v>
      </c>
      <c r="G187" s="2" t="str">
        <f t="shared" si="128"/>
        <v>Вскрытие и восстановление асфальта</v>
      </c>
      <c r="H187" s="2"/>
      <c r="I187" s="2"/>
      <c r="J187" s="2"/>
      <c r="K187" s="2"/>
      <c r="L187" s="2"/>
      <c r="M187" s="2"/>
      <c r="N187" s="2"/>
      <c r="O187" s="2">
        <f t="shared" ref="O187:AT187" si="129">O212</f>
        <v>26984.51</v>
      </c>
      <c r="P187" s="2">
        <f t="shared" si="129"/>
        <v>24857.91</v>
      </c>
      <c r="Q187" s="2">
        <f t="shared" si="129"/>
        <v>2013.23</v>
      </c>
      <c r="R187" s="2">
        <f t="shared" si="129"/>
        <v>96.1</v>
      </c>
      <c r="S187" s="2">
        <f t="shared" si="129"/>
        <v>113.37</v>
      </c>
      <c r="T187" s="2">
        <f t="shared" si="129"/>
        <v>0</v>
      </c>
      <c r="U187" s="2">
        <f t="shared" si="129"/>
        <v>21.407616449999995</v>
      </c>
      <c r="V187" s="2">
        <f t="shared" si="129"/>
        <v>11.8345302</v>
      </c>
      <c r="W187" s="2">
        <f t="shared" si="129"/>
        <v>0</v>
      </c>
      <c r="X187" s="2">
        <f t="shared" si="129"/>
        <v>307.93</v>
      </c>
      <c r="Y187" s="2">
        <f t="shared" si="129"/>
        <v>243.74</v>
      </c>
      <c r="Z187" s="2">
        <f t="shared" si="129"/>
        <v>0</v>
      </c>
      <c r="AA187" s="2">
        <f t="shared" si="129"/>
        <v>0</v>
      </c>
      <c r="AB187" s="2">
        <f t="shared" si="129"/>
        <v>26984.51</v>
      </c>
      <c r="AC187" s="2">
        <f t="shared" si="129"/>
        <v>24857.91</v>
      </c>
      <c r="AD187" s="2">
        <f t="shared" si="129"/>
        <v>2013.23</v>
      </c>
      <c r="AE187" s="2">
        <f t="shared" si="129"/>
        <v>96.1</v>
      </c>
      <c r="AF187" s="2">
        <f t="shared" si="129"/>
        <v>113.37</v>
      </c>
      <c r="AG187" s="2">
        <f t="shared" si="129"/>
        <v>0</v>
      </c>
      <c r="AH187" s="2">
        <f t="shared" si="129"/>
        <v>21.407616449999995</v>
      </c>
      <c r="AI187" s="2">
        <f t="shared" si="129"/>
        <v>11.8345302</v>
      </c>
      <c r="AJ187" s="2">
        <f t="shared" si="129"/>
        <v>0</v>
      </c>
      <c r="AK187" s="2">
        <f t="shared" si="129"/>
        <v>307.93</v>
      </c>
      <c r="AL187" s="2">
        <f t="shared" si="129"/>
        <v>243.74</v>
      </c>
      <c r="AM187" s="2">
        <f t="shared" si="129"/>
        <v>0</v>
      </c>
      <c r="AN187" s="2">
        <f t="shared" si="129"/>
        <v>0</v>
      </c>
      <c r="AO187" s="2">
        <f t="shared" si="129"/>
        <v>0</v>
      </c>
      <c r="AP187" s="2">
        <f t="shared" si="129"/>
        <v>0</v>
      </c>
      <c r="AQ187" s="2">
        <f t="shared" si="129"/>
        <v>0</v>
      </c>
      <c r="AR187" s="2">
        <f t="shared" si="129"/>
        <v>27536.18</v>
      </c>
      <c r="AS187" s="2">
        <f t="shared" si="129"/>
        <v>2999.66</v>
      </c>
      <c r="AT187" s="2">
        <f t="shared" si="129"/>
        <v>24536.52</v>
      </c>
      <c r="AU187" s="2">
        <f t="shared" ref="AU187:BZ187" si="130">AU212</f>
        <v>0</v>
      </c>
      <c r="AV187" s="2">
        <f t="shared" si="130"/>
        <v>24857.91</v>
      </c>
      <c r="AW187" s="2">
        <f t="shared" si="130"/>
        <v>24857.91</v>
      </c>
      <c r="AX187" s="2">
        <f t="shared" si="130"/>
        <v>0</v>
      </c>
      <c r="AY187" s="2">
        <f t="shared" si="130"/>
        <v>24857.91</v>
      </c>
      <c r="AZ187" s="2">
        <f t="shared" si="130"/>
        <v>0</v>
      </c>
      <c r="BA187" s="2">
        <f t="shared" si="130"/>
        <v>0</v>
      </c>
      <c r="BB187" s="2">
        <f t="shared" si="130"/>
        <v>0</v>
      </c>
      <c r="BC187" s="2">
        <f t="shared" si="130"/>
        <v>0</v>
      </c>
      <c r="BD187" s="2">
        <f t="shared" si="130"/>
        <v>719.82</v>
      </c>
      <c r="BE187" s="2">
        <f t="shared" si="130"/>
        <v>0</v>
      </c>
      <c r="BF187" s="2">
        <f t="shared" si="130"/>
        <v>0</v>
      </c>
      <c r="BG187" s="2">
        <f t="shared" si="130"/>
        <v>0</v>
      </c>
      <c r="BH187" s="2">
        <f t="shared" si="130"/>
        <v>0</v>
      </c>
      <c r="BI187" s="2">
        <f t="shared" si="130"/>
        <v>0</v>
      </c>
      <c r="BJ187" s="2">
        <f t="shared" si="130"/>
        <v>0</v>
      </c>
      <c r="BK187" s="2">
        <f t="shared" si="130"/>
        <v>0</v>
      </c>
      <c r="BL187" s="2">
        <f t="shared" si="130"/>
        <v>0</v>
      </c>
      <c r="BM187" s="2">
        <f t="shared" si="130"/>
        <v>0</v>
      </c>
      <c r="BN187" s="2">
        <f t="shared" si="130"/>
        <v>0</v>
      </c>
      <c r="BO187" s="2">
        <f t="shared" si="130"/>
        <v>0</v>
      </c>
      <c r="BP187" s="2">
        <f t="shared" si="130"/>
        <v>0</v>
      </c>
      <c r="BQ187" s="2">
        <f t="shared" si="130"/>
        <v>0</v>
      </c>
      <c r="BR187" s="2">
        <f t="shared" si="130"/>
        <v>0</v>
      </c>
      <c r="BS187" s="2">
        <f t="shared" si="130"/>
        <v>0</v>
      </c>
      <c r="BT187" s="2">
        <f t="shared" si="130"/>
        <v>0</v>
      </c>
      <c r="BU187" s="2">
        <f t="shared" si="130"/>
        <v>0</v>
      </c>
      <c r="BV187" s="2">
        <f t="shared" si="130"/>
        <v>0</v>
      </c>
      <c r="BW187" s="2">
        <f t="shared" si="130"/>
        <v>0</v>
      </c>
      <c r="BX187" s="2">
        <f t="shared" si="130"/>
        <v>0</v>
      </c>
      <c r="BY187" s="2">
        <f t="shared" si="130"/>
        <v>0</v>
      </c>
      <c r="BZ187" s="2">
        <f t="shared" si="130"/>
        <v>0</v>
      </c>
      <c r="CA187" s="2">
        <f t="shared" ref="CA187:DF187" si="131">CA212</f>
        <v>27536.18</v>
      </c>
      <c r="CB187" s="2">
        <f t="shared" si="131"/>
        <v>2999.66</v>
      </c>
      <c r="CC187" s="2">
        <f t="shared" si="131"/>
        <v>24536.52</v>
      </c>
      <c r="CD187" s="2">
        <f t="shared" si="131"/>
        <v>0</v>
      </c>
      <c r="CE187" s="2">
        <f t="shared" si="131"/>
        <v>24857.91</v>
      </c>
      <c r="CF187" s="2">
        <f t="shared" si="131"/>
        <v>24857.91</v>
      </c>
      <c r="CG187" s="2">
        <f t="shared" si="131"/>
        <v>0</v>
      </c>
      <c r="CH187" s="2">
        <f t="shared" si="131"/>
        <v>24857.91</v>
      </c>
      <c r="CI187" s="2">
        <f t="shared" si="131"/>
        <v>0</v>
      </c>
      <c r="CJ187" s="2">
        <f t="shared" si="131"/>
        <v>0</v>
      </c>
      <c r="CK187" s="2">
        <f t="shared" si="131"/>
        <v>0</v>
      </c>
      <c r="CL187" s="2">
        <f t="shared" si="131"/>
        <v>0</v>
      </c>
      <c r="CM187" s="2">
        <f t="shared" si="131"/>
        <v>719.82</v>
      </c>
      <c r="CN187" s="2">
        <f t="shared" si="131"/>
        <v>0</v>
      </c>
      <c r="CO187" s="2">
        <f t="shared" si="131"/>
        <v>0</v>
      </c>
      <c r="CP187" s="2">
        <f t="shared" si="131"/>
        <v>0</v>
      </c>
      <c r="CQ187" s="2">
        <f t="shared" si="131"/>
        <v>0</v>
      </c>
      <c r="CR187" s="2">
        <f t="shared" si="131"/>
        <v>0</v>
      </c>
      <c r="CS187" s="2">
        <f t="shared" si="131"/>
        <v>0</v>
      </c>
      <c r="CT187" s="2">
        <f t="shared" si="131"/>
        <v>0</v>
      </c>
      <c r="CU187" s="2">
        <f t="shared" si="131"/>
        <v>0</v>
      </c>
      <c r="CV187" s="2">
        <f t="shared" si="131"/>
        <v>0</v>
      </c>
      <c r="CW187" s="2">
        <f t="shared" si="131"/>
        <v>0</v>
      </c>
      <c r="CX187" s="2">
        <f t="shared" si="131"/>
        <v>0</v>
      </c>
      <c r="CY187" s="2">
        <f t="shared" si="131"/>
        <v>0</v>
      </c>
      <c r="CZ187" s="2">
        <f t="shared" si="131"/>
        <v>0</v>
      </c>
      <c r="DA187" s="2">
        <f t="shared" si="131"/>
        <v>0</v>
      </c>
      <c r="DB187" s="2">
        <f t="shared" si="131"/>
        <v>0</v>
      </c>
      <c r="DC187" s="2">
        <f t="shared" si="131"/>
        <v>0</v>
      </c>
      <c r="DD187" s="2">
        <f t="shared" si="131"/>
        <v>0</v>
      </c>
      <c r="DE187" s="2">
        <f t="shared" si="131"/>
        <v>0</v>
      </c>
      <c r="DF187" s="2">
        <f t="shared" si="131"/>
        <v>0</v>
      </c>
      <c r="DG187" s="3">
        <f t="shared" ref="DG187:EL187" si="132">DG212</f>
        <v>0</v>
      </c>
      <c r="DH187" s="3">
        <f t="shared" si="132"/>
        <v>0</v>
      </c>
      <c r="DI187" s="3">
        <f t="shared" si="132"/>
        <v>0</v>
      </c>
      <c r="DJ187" s="3">
        <f t="shared" si="132"/>
        <v>0</v>
      </c>
      <c r="DK187" s="3">
        <f t="shared" si="132"/>
        <v>0</v>
      </c>
      <c r="DL187" s="3">
        <f t="shared" si="132"/>
        <v>0</v>
      </c>
      <c r="DM187" s="3">
        <f t="shared" si="132"/>
        <v>0</v>
      </c>
      <c r="DN187" s="3">
        <f t="shared" si="132"/>
        <v>0</v>
      </c>
      <c r="DO187" s="3">
        <f t="shared" si="132"/>
        <v>0</v>
      </c>
      <c r="DP187" s="3">
        <f t="shared" si="132"/>
        <v>0</v>
      </c>
      <c r="DQ187" s="3">
        <f t="shared" si="132"/>
        <v>0</v>
      </c>
      <c r="DR187" s="3">
        <f t="shared" si="132"/>
        <v>0</v>
      </c>
      <c r="DS187" s="3">
        <f t="shared" si="132"/>
        <v>0</v>
      </c>
      <c r="DT187" s="3">
        <f t="shared" si="132"/>
        <v>0</v>
      </c>
      <c r="DU187" s="3">
        <f t="shared" si="132"/>
        <v>0</v>
      </c>
      <c r="DV187" s="3">
        <f t="shared" si="132"/>
        <v>0</v>
      </c>
      <c r="DW187" s="3">
        <f t="shared" si="132"/>
        <v>0</v>
      </c>
      <c r="DX187" s="3">
        <f t="shared" si="132"/>
        <v>0</v>
      </c>
      <c r="DY187" s="3">
        <f t="shared" si="132"/>
        <v>0</v>
      </c>
      <c r="DZ187" s="3">
        <f t="shared" si="132"/>
        <v>0</v>
      </c>
      <c r="EA187" s="3">
        <f t="shared" si="132"/>
        <v>0</v>
      </c>
      <c r="EB187" s="3">
        <f t="shared" si="132"/>
        <v>0</v>
      </c>
      <c r="EC187" s="3">
        <f t="shared" si="132"/>
        <v>0</v>
      </c>
      <c r="ED187" s="3">
        <f t="shared" si="132"/>
        <v>0</v>
      </c>
      <c r="EE187" s="3">
        <f t="shared" si="132"/>
        <v>0</v>
      </c>
      <c r="EF187" s="3">
        <f t="shared" si="132"/>
        <v>0</v>
      </c>
      <c r="EG187" s="3">
        <f t="shared" si="132"/>
        <v>0</v>
      </c>
      <c r="EH187" s="3">
        <f t="shared" si="132"/>
        <v>0</v>
      </c>
      <c r="EI187" s="3">
        <f t="shared" si="132"/>
        <v>0</v>
      </c>
      <c r="EJ187" s="3">
        <f t="shared" si="132"/>
        <v>0</v>
      </c>
      <c r="EK187" s="3">
        <f t="shared" si="132"/>
        <v>0</v>
      </c>
      <c r="EL187" s="3">
        <f t="shared" si="132"/>
        <v>0</v>
      </c>
      <c r="EM187" s="3">
        <f t="shared" ref="EM187:FR187" si="133">EM212</f>
        <v>0</v>
      </c>
      <c r="EN187" s="3">
        <f t="shared" si="133"/>
        <v>0</v>
      </c>
      <c r="EO187" s="3">
        <f t="shared" si="133"/>
        <v>0</v>
      </c>
      <c r="EP187" s="3">
        <f t="shared" si="133"/>
        <v>0</v>
      </c>
      <c r="EQ187" s="3">
        <f t="shared" si="133"/>
        <v>0</v>
      </c>
      <c r="ER187" s="3">
        <f t="shared" si="133"/>
        <v>0</v>
      </c>
      <c r="ES187" s="3">
        <f t="shared" si="133"/>
        <v>0</v>
      </c>
      <c r="ET187" s="3">
        <f t="shared" si="133"/>
        <v>0</v>
      </c>
      <c r="EU187" s="3">
        <f t="shared" si="133"/>
        <v>0</v>
      </c>
      <c r="EV187" s="3">
        <f t="shared" si="133"/>
        <v>0</v>
      </c>
      <c r="EW187" s="3">
        <f t="shared" si="133"/>
        <v>0</v>
      </c>
      <c r="EX187" s="3">
        <f t="shared" si="133"/>
        <v>0</v>
      </c>
      <c r="EY187" s="3">
        <f t="shared" si="133"/>
        <v>0</v>
      </c>
      <c r="EZ187" s="3">
        <f t="shared" si="133"/>
        <v>0</v>
      </c>
      <c r="FA187" s="3">
        <f t="shared" si="133"/>
        <v>0</v>
      </c>
      <c r="FB187" s="3">
        <f t="shared" si="133"/>
        <v>0</v>
      </c>
      <c r="FC187" s="3">
        <f t="shared" si="133"/>
        <v>0</v>
      </c>
      <c r="FD187" s="3">
        <f t="shared" si="133"/>
        <v>0</v>
      </c>
      <c r="FE187" s="3">
        <f t="shared" si="133"/>
        <v>0</v>
      </c>
      <c r="FF187" s="3">
        <f t="shared" si="133"/>
        <v>0</v>
      </c>
      <c r="FG187" s="3">
        <f t="shared" si="133"/>
        <v>0</v>
      </c>
      <c r="FH187" s="3">
        <f t="shared" si="133"/>
        <v>0</v>
      </c>
      <c r="FI187" s="3">
        <f t="shared" si="133"/>
        <v>0</v>
      </c>
      <c r="FJ187" s="3">
        <f t="shared" si="133"/>
        <v>0</v>
      </c>
      <c r="FK187" s="3">
        <f t="shared" si="133"/>
        <v>0</v>
      </c>
      <c r="FL187" s="3">
        <f t="shared" si="133"/>
        <v>0</v>
      </c>
      <c r="FM187" s="3">
        <f t="shared" si="133"/>
        <v>0</v>
      </c>
      <c r="FN187" s="3">
        <f t="shared" si="133"/>
        <v>0</v>
      </c>
      <c r="FO187" s="3">
        <f t="shared" si="133"/>
        <v>0</v>
      </c>
      <c r="FP187" s="3">
        <f t="shared" si="133"/>
        <v>0</v>
      </c>
      <c r="FQ187" s="3">
        <f t="shared" si="133"/>
        <v>0</v>
      </c>
      <c r="FR187" s="3">
        <f t="shared" si="133"/>
        <v>0</v>
      </c>
      <c r="FS187" s="3">
        <f t="shared" ref="FS187:GX187" si="134">FS212</f>
        <v>0</v>
      </c>
      <c r="FT187" s="3">
        <f t="shared" si="134"/>
        <v>0</v>
      </c>
      <c r="FU187" s="3">
        <f t="shared" si="134"/>
        <v>0</v>
      </c>
      <c r="FV187" s="3">
        <f t="shared" si="134"/>
        <v>0</v>
      </c>
      <c r="FW187" s="3">
        <f t="shared" si="134"/>
        <v>0</v>
      </c>
      <c r="FX187" s="3">
        <f t="shared" si="134"/>
        <v>0</v>
      </c>
      <c r="FY187" s="3">
        <f t="shared" si="134"/>
        <v>0</v>
      </c>
      <c r="FZ187" s="3">
        <f t="shared" si="134"/>
        <v>0</v>
      </c>
      <c r="GA187" s="3">
        <f t="shared" si="134"/>
        <v>0</v>
      </c>
      <c r="GB187" s="3">
        <f t="shared" si="134"/>
        <v>0</v>
      </c>
      <c r="GC187" s="3">
        <f t="shared" si="134"/>
        <v>0</v>
      </c>
      <c r="GD187" s="3">
        <f t="shared" si="134"/>
        <v>0</v>
      </c>
      <c r="GE187" s="3">
        <f t="shared" si="134"/>
        <v>0</v>
      </c>
      <c r="GF187" s="3">
        <f t="shared" si="134"/>
        <v>0</v>
      </c>
      <c r="GG187" s="3">
        <f t="shared" si="134"/>
        <v>0</v>
      </c>
      <c r="GH187" s="3">
        <f t="shared" si="134"/>
        <v>0</v>
      </c>
      <c r="GI187" s="3">
        <f t="shared" si="134"/>
        <v>0</v>
      </c>
      <c r="GJ187" s="3">
        <f t="shared" si="134"/>
        <v>0</v>
      </c>
      <c r="GK187" s="3">
        <f t="shared" si="134"/>
        <v>0</v>
      </c>
      <c r="GL187" s="3">
        <f t="shared" si="134"/>
        <v>0</v>
      </c>
      <c r="GM187" s="3">
        <f t="shared" si="134"/>
        <v>0</v>
      </c>
      <c r="GN187" s="3">
        <f t="shared" si="134"/>
        <v>0</v>
      </c>
      <c r="GO187" s="3">
        <f t="shared" si="134"/>
        <v>0</v>
      </c>
      <c r="GP187" s="3">
        <f t="shared" si="134"/>
        <v>0</v>
      </c>
      <c r="GQ187" s="3">
        <f t="shared" si="134"/>
        <v>0</v>
      </c>
      <c r="GR187" s="3">
        <f t="shared" si="134"/>
        <v>0</v>
      </c>
      <c r="GS187" s="3">
        <f t="shared" si="134"/>
        <v>0</v>
      </c>
      <c r="GT187" s="3">
        <f t="shared" si="134"/>
        <v>0</v>
      </c>
      <c r="GU187" s="3">
        <f t="shared" si="134"/>
        <v>0</v>
      </c>
      <c r="GV187" s="3">
        <f t="shared" si="134"/>
        <v>0</v>
      </c>
      <c r="GW187" s="3">
        <f t="shared" si="134"/>
        <v>0</v>
      </c>
      <c r="GX187" s="3">
        <f t="shared" si="134"/>
        <v>0</v>
      </c>
    </row>
    <row r="189" spans="1:245">
      <c r="A189">
        <v>17</v>
      </c>
      <c r="B189">
        <v>1</v>
      </c>
      <c r="C189">
        <f>ROW(SmtRes!A158)</f>
        <v>158</v>
      </c>
      <c r="D189">
        <f>ROW(EtalonRes!A163)</f>
        <v>163</v>
      </c>
      <c r="E189" t="s">
        <v>248</v>
      </c>
      <c r="F189" t="s">
        <v>249</v>
      </c>
      <c r="G189" t="s">
        <v>250</v>
      </c>
      <c r="H189" t="s">
        <v>251</v>
      </c>
      <c r="I189">
        <f>ROUND(30*0.1/100,7)</f>
        <v>0.03</v>
      </c>
      <c r="J189">
        <v>0</v>
      </c>
      <c r="K189">
        <f>ROUND(30*0.1/100,7)</f>
        <v>0.03</v>
      </c>
      <c r="O189">
        <f t="shared" ref="O189:O210" si="135">ROUND(CP189,2)</f>
        <v>267.70999999999998</v>
      </c>
      <c r="P189">
        <f t="shared" ref="P189:P202" si="136">ROUND(CQ189*I189,2)</f>
        <v>0</v>
      </c>
      <c r="Q189">
        <f t="shared" ref="Q189:Q210" si="137">ROUND(CR189*I189,2)</f>
        <v>207.56</v>
      </c>
      <c r="R189">
        <f t="shared" ref="R189:R210" si="138">ROUND(CS189*I189,2)</f>
        <v>18.68</v>
      </c>
      <c r="S189">
        <f t="shared" ref="S189:S210" si="139">ROUND(CT189*I189,2)</f>
        <v>60.15</v>
      </c>
      <c r="T189">
        <f t="shared" ref="T189:T210" si="140">ROUND(CU189*I189,2)</f>
        <v>0</v>
      </c>
      <c r="U189">
        <f t="shared" ref="U189:U210" si="141">CV189*I189</f>
        <v>7.4437199999999999</v>
      </c>
      <c r="V189">
        <f t="shared" ref="V189:V210" si="142">CW189*I189</f>
        <v>1.8890819999999999</v>
      </c>
      <c r="W189">
        <f t="shared" ref="W189:W210" si="143">ROUND(CX189*I189,2)</f>
        <v>0</v>
      </c>
      <c r="X189">
        <f t="shared" ref="X189:X210" si="144">ROUND(CY189,2)</f>
        <v>115.88</v>
      </c>
      <c r="Y189">
        <f t="shared" ref="Y189:Y210" si="145">ROUND(CZ189,2)</f>
        <v>105.63</v>
      </c>
      <c r="AA189">
        <v>47920234</v>
      </c>
      <c r="AB189">
        <f t="shared" ref="AB189:AB210" si="146">ROUND((AC189+AD189+AF189),2)</f>
        <v>8923.6</v>
      </c>
      <c r="AC189">
        <f t="shared" ref="AC189:AC200" si="147">ROUND((ES189),2)</f>
        <v>0</v>
      </c>
      <c r="AD189">
        <f>ROUND(((((ET189*ROUND((1.2*1.15),7)))-((EU189*ROUND((1.2*1.15),7))))+AE189),2)</f>
        <v>6918.76</v>
      </c>
      <c r="AE189">
        <f>ROUND(((EU189*ROUND((1.2*1.15),7))),2)</f>
        <v>622.77</v>
      </c>
      <c r="AF189">
        <f>ROUND(((EV189*ROUND((1.2*1.15),7))),2)</f>
        <v>2004.84</v>
      </c>
      <c r="AG189">
        <f t="shared" ref="AG189:AG210" si="148">ROUND((AP189),2)</f>
        <v>0</v>
      </c>
      <c r="AH189">
        <f>((EW189*ROUND((1.2*1.15),7)))</f>
        <v>248.124</v>
      </c>
      <c r="AI189">
        <f>((EX189*ROUND((1.2*1.15),7)))</f>
        <v>62.9694</v>
      </c>
      <c r="AJ189">
        <f t="shared" ref="AJ189:AJ210" si="149">(AS189)</f>
        <v>0</v>
      </c>
      <c r="AK189">
        <v>6466.37</v>
      </c>
      <c r="AL189">
        <v>0</v>
      </c>
      <c r="AM189">
        <v>5013.59</v>
      </c>
      <c r="AN189">
        <v>451.28</v>
      </c>
      <c r="AO189">
        <v>1452.78</v>
      </c>
      <c r="AP189">
        <v>0</v>
      </c>
      <c r="AQ189">
        <v>179.8</v>
      </c>
      <c r="AR189">
        <v>45.63</v>
      </c>
      <c r="AS189">
        <v>0</v>
      </c>
      <c r="AT189">
        <v>147</v>
      </c>
      <c r="AU189">
        <v>134</v>
      </c>
      <c r="AV189">
        <v>1</v>
      </c>
      <c r="AW189">
        <v>1</v>
      </c>
      <c r="AZ189">
        <v>1</v>
      </c>
      <c r="BA189">
        <v>28.93</v>
      </c>
      <c r="BB189">
        <v>1</v>
      </c>
      <c r="BC189">
        <v>1</v>
      </c>
      <c r="BD189" t="s">
        <v>3</v>
      </c>
      <c r="BE189" t="s">
        <v>3</v>
      </c>
      <c r="BF189" t="s">
        <v>3</v>
      </c>
      <c r="BG189" t="s">
        <v>3</v>
      </c>
      <c r="BH189">
        <v>0</v>
      </c>
      <c r="BI189">
        <v>1</v>
      </c>
      <c r="BJ189" t="s">
        <v>252</v>
      </c>
      <c r="BM189">
        <v>27006</v>
      </c>
      <c r="BN189">
        <v>0</v>
      </c>
      <c r="BO189" t="s">
        <v>3</v>
      </c>
      <c r="BP189">
        <v>0</v>
      </c>
      <c r="BQ189">
        <v>2</v>
      </c>
      <c r="BR189">
        <v>0</v>
      </c>
      <c r="BS189">
        <v>28.93</v>
      </c>
      <c r="BT189">
        <v>1</v>
      </c>
      <c r="BU189">
        <v>1</v>
      </c>
      <c r="BV189">
        <v>1</v>
      </c>
      <c r="BW189">
        <v>1</v>
      </c>
      <c r="BX189">
        <v>1</v>
      </c>
      <c r="BY189" t="s">
        <v>3</v>
      </c>
      <c r="BZ189">
        <v>147</v>
      </c>
      <c r="CA189">
        <v>134</v>
      </c>
      <c r="CB189" t="s">
        <v>3</v>
      </c>
      <c r="CE189">
        <v>0</v>
      </c>
      <c r="CF189">
        <v>0</v>
      </c>
      <c r="CG189">
        <v>0</v>
      </c>
      <c r="CM189">
        <v>0</v>
      </c>
      <c r="CN189" t="s">
        <v>3</v>
      </c>
      <c r="CO189">
        <v>0</v>
      </c>
      <c r="CP189">
        <f t="shared" ref="CP189:CP210" si="150">(P189+Q189+S189)</f>
        <v>267.70999999999998</v>
      </c>
      <c r="CQ189">
        <f t="shared" ref="CQ189:CQ202" si="151">AC189*BC189</f>
        <v>0</v>
      </c>
      <c r="CR189">
        <f t="shared" ref="CR189:CR210" si="152">AD189*BB189</f>
        <v>6918.76</v>
      </c>
      <c r="CS189">
        <f t="shared" ref="CS189:CS210" si="153">AE189</f>
        <v>622.77</v>
      </c>
      <c r="CT189">
        <f t="shared" ref="CT189:CT210" si="154">AF189</f>
        <v>2004.84</v>
      </c>
      <c r="CU189">
        <f t="shared" ref="CU189:CU210" si="155">AG189</f>
        <v>0</v>
      </c>
      <c r="CV189">
        <f t="shared" ref="CV189:CV210" si="156">AH189</f>
        <v>248.124</v>
      </c>
      <c r="CW189">
        <f t="shared" ref="CW189:CW210" si="157">AI189</f>
        <v>62.9694</v>
      </c>
      <c r="CX189">
        <f t="shared" ref="CX189:CX210" si="158">AJ189</f>
        <v>0</v>
      </c>
      <c r="CY189">
        <f t="shared" ref="CY189:CY210" si="159">(((S189+R189)*AT189)/100)</f>
        <v>115.8801</v>
      </c>
      <c r="CZ189">
        <f t="shared" ref="CZ189:CZ210" si="160">(((S189+R189)*AU189)/100)</f>
        <v>105.6322</v>
      </c>
      <c r="DC189" t="s">
        <v>3</v>
      </c>
      <c r="DD189" t="s">
        <v>3</v>
      </c>
      <c r="DE189" t="s">
        <v>20</v>
      </c>
      <c r="DF189" t="s">
        <v>20</v>
      </c>
      <c r="DG189" t="s">
        <v>20</v>
      </c>
      <c r="DH189" t="s">
        <v>3</v>
      </c>
      <c r="DI189" t="s">
        <v>20</v>
      </c>
      <c r="DJ189" t="s">
        <v>20</v>
      </c>
      <c r="DK189" t="s">
        <v>3</v>
      </c>
      <c r="DL189" t="s">
        <v>3</v>
      </c>
      <c r="DM189" t="s">
        <v>3</v>
      </c>
      <c r="DN189">
        <v>0</v>
      </c>
      <c r="DO189">
        <v>0</v>
      </c>
      <c r="DP189">
        <v>1</v>
      </c>
      <c r="DQ189">
        <v>1</v>
      </c>
      <c r="DU189">
        <v>1007</v>
      </c>
      <c r="DV189" t="s">
        <v>251</v>
      </c>
      <c r="DW189" t="s">
        <v>251</v>
      </c>
      <c r="DX189">
        <v>100</v>
      </c>
      <c r="DZ189" t="s">
        <v>3</v>
      </c>
      <c r="EA189" t="s">
        <v>3</v>
      </c>
      <c r="EB189" t="s">
        <v>3</v>
      </c>
      <c r="EC189" t="s">
        <v>3</v>
      </c>
      <c r="EE189">
        <v>41328661</v>
      </c>
      <c r="EF189">
        <v>2</v>
      </c>
      <c r="EG189" t="s">
        <v>21</v>
      </c>
      <c r="EH189">
        <v>21</v>
      </c>
      <c r="EI189" t="s">
        <v>253</v>
      </c>
      <c r="EJ189">
        <v>1</v>
      </c>
      <c r="EK189">
        <v>27006</v>
      </c>
      <c r="EL189" t="s">
        <v>254</v>
      </c>
      <c r="EM189" t="s">
        <v>255</v>
      </c>
      <c r="EO189" t="s">
        <v>3</v>
      </c>
      <c r="EQ189">
        <v>0</v>
      </c>
      <c r="ER189">
        <v>6466.37</v>
      </c>
      <c r="ES189">
        <v>0</v>
      </c>
      <c r="ET189">
        <v>5013.59</v>
      </c>
      <c r="EU189">
        <v>451.28</v>
      </c>
      <c r="EV189">
        <v>1452.78</v>
      </c>
      <c r="EW189">
        <v>179.8</v>
      </c>
      <c r="EX189">
        <v>45.63</v>
      </c>
      <c r="EY189">
        <v>0</v>
      </c>
      <c r="FQ189">
        <v>0</v>
      </c>
      <c r="FR189">
        <f t="shared" ref="FR189:FR210" si="161">ROUND(IF(AND(BH189=3,BI189=3),P189,0),2)</f>
        <v>0</v>
      </c>
      <c r="FS189">
        <v>0</v>
      </c>
      <c r="FX189">
        <v>147</v>
      </c>
      <c r="FY189">
        <v>134</v>
      </c>
      <c r="GA189" t="s">
        <v>3</v>
      </c>
      <c r="GD189">
        <v>1</v>
      </c>
      <c r="GF189">
        <v>-1633117468</v>
      </c>
      <c r="GG189">
        <v>2</v>
      </c>
      <c r="GH189">
        <v>1</v>
      </c>
      <c r="GI189">
        <v>4</v>
      </c>
      <c r="GJ189">
        <v>0</v>
      </c>
      <c r="GK189">
        <v>0</v>
      </c>
      <c r="GL189">
        <f t="shared" ref="GL189:GL210" si="162">ROUND(IF(AND(BH189=3,BI189=3,FS189&lt;&gt;0),P189,0),2)</f>
        <v>0</v>
      </c>
      <c r="GM189">
        <f t="shared" ref="GM189:GM210" si="163">ROUND(O189+X189+Y189,2)+GX189</f>
        <v>489.22</v>
      </c>
      <c r="GN189">
        <f t="shared" ref="GN189:GN210" si="164">IF(OR(BI189=0,BI189=1),ROUND(O189+X189+Y189,2),0)</f>
        <v>489.22</v>
      </c>
      <c r="GO189">
        <f t="shared" ref="GO189:GO210" si="165">IF(BI189=2,ROUND(O189+X189+Y189,2),0)</f>
        <v>0</v>
      </c>
      <c r="GP189">
        <f t="shared" ref="GP189:GP210" si="166">IF(BI189=4,ROUND(O189+X189+Y189,2)+GX189,0)</f>
        <v>0</v>
      </c>
      <c r="GR189">
        <v>0</v>
      </c>
      <c r="GS189">
        <v>3</v>
      </c>
      <c r="GT189">
        <v>0</v>
      </c>
      <c r="GU189" t="s">
        <v>3</v>
      </c>
      <c r="GV189">
        <f t="shared" ref="GV189:GV210" si="167">ROUND((GT189),2)</f>
        <v>0</v>
      </c>
      <c r="GW189">
        <v>1</v>
      </c>
      <c r="GX189">
        <f t="shared" ref="GX189:GX210" si="168">ROUND(HC189*I189,2)</f>
        <v>0</v>
      </c>
      <c r="HA189">
        <v>0</v>
      </c>
      <c r="HB189">
        <v>0</v>
      </c>
      <c r="HC189">
        <f t="shared" ref="HC189:HC210" si="169">GV189*GW189</f>
        <v>0</v>
      </c>
      <c r="HE189" t="s">
        <v>3</v>
      </c>
      <c r="HF189" t="s">
        <v>3</v>
      </c>
      <c r="HI189">
        <f t="shared" ref="HI189:HI210" si="170">ROUND(R189*BS189,2)</f>
        <v>540.41</v>
      </c>
      <c r="HJ189">
        <f t="shared" ref="HJ189:HJ210" si="171">ROUND(S189*BA189,2)</f>
        <v>1740.14</v>
      </c>
      <c r="HK189">
        <f t="shared" ref="HK189:HK210" si="172">ROUND((((HJ189+HI189)*AT189)/100),2)</f>
        <v>3352.41</v>
      </c>
      <c r="HL189">
        <f t="shared" ref="HL189:HL210" si="173">ROUND((((HJ189+HI189)*AU189)/100),2)</f>
        <v>3055.94</v>
      </c>
      <c r="HM189" t="s">
        <v>3</v>
      </c>
      <c r="HN189" t="s">
        <v>256</v>
      </c>
      <c r="HO189" t="s">
        <v>257</v>
      </c>
      <c r="HP189" t="s">
        <v>253</v>
      </c>
      <c r="HQ189" t="s">
        <v>253</v>
      </c>
      <c r="IK189">
        <v>0</v>
      </c>
    </row>
    <row r="190" spans="1:245">
      <c r="A190">
        <v>17</v>
      </c>
      <c r="B190">
        <v>1</v>
      </c>
      <c r="C190">
        <f>ROW(SmtRes!A164)</f>
        <v>164</v>
      </c>
      <c r="D190">
        <f>ROW(EtalonRes!A169)</f>
        <v>169</v>
      </c>
      <c r="E190" t="s">
        <v>258</v>
      </c>
      <c r="F190" t="s">
        <v>259</v>
      </c>
      <c r="G190" t="s">
        <v>260</v>
      </c>
      <c r="H190" t="s">
        <v>251</v>
      </c>
      <c r="I190">
        <f>ROUND(30*0.15/100,7)</f>
        <v>4.4999999999999998E-2</v>
      </c>
      <c r="J190">
        <v>0</v>
      </c>
      <c r="K190">
        <f>ROUND(30*0.15/100,7)</f>
        <v>4.4999999999999998E-2</v>
      </c>
      <c r="O190">
        <f t="shared" si="135"/>
        <v>33.44</v>
      </c>
      <c r="P190">
        <f t="shared" si="136"/>
        <v>0</v>
      </c>
      <c r="Q190">
        <f t="shared" si="137"/>
        <v>27.22</v>
      </c>
      <c r="R190">
        <f t="shared" si="138"/>
        <v>3.04</v>
      </c>
      <c r="S190">
        <f t="shared" si="139"/>
        <v>6.22</v>
      </c>
      <c r="T190">
        <f t="shared" si="140"/>
        <v>0</v>
      </c>
      <c r="U190">
        <f t="shared" si="141"/>
        <v>0.82096199999999997</v>
      </c>
      <c r="V190">
        <f t="shared" si="142"/>
        <v>0.23535899999999998</v>
      </c>
      <c r="W190">
        <f t="shared" si="143"/>
        <v>0</v>
      </c>
      <c r="X190">
        <f t="shared" si="144"/>
        <v>13.61</v>
      </c>
      <c r="Y190">
        <f t="shared" si="145"/>
        <v>12.41</v>
      </c>
      <c r="AA190">
        <v>47920234</v>
      </c>
      <c r="AB190">
        <f t="shared" si="146"/>
        <v>743.26</v>
      </c>
      <c r="AC190">
        <f t="shared" si="147"/>
        <v>0</v>
      </c>
      <c r="AD190">
        <f>ROUND(((((ET190*ROUND((1.2*1.15),7)))-((EU190*ROUND((1.2*1.15),7))))+AE190),2)</f>
        <v>604.97</v>
      </c>
      <c r="AE190">
        <f>ROUND(((EU190*ROUND((1.2*1.15),7))),2)</f>
        <v>67.47</v>
      </c>
      <c r="AF190">
        <f>ROUND(((EV190*ROUND((1.2*1.15),7))),2)</f>
        <v>138.29</v>
      </c>
      <c r="AG190">
        <f t="shared" si="148"/>
        <v>0</v>
      </c>
      <c r="AH190">
        <f>((EW190*ROUND((1.2*1.15),7)))</f>
        <v>18.243600000000001</v>
      </c>
      <c r="AI190">
        <f>((EX190*ROUND((1.2*1.15),7)))</f>
        <v>5.2302</v>
      </c>
      <c r="AJ190">
        <f t="shared" si="149"/>
        <v>0</v>
      </c>
      <c r="AK190">
        <v>538.59</v>
      </c>
      <c r="AL190">
        <v>0</v>
      </c>
      <c r="AM190">
        <v>438.38</v>
      </c>
      <c r="AN190">
        <v>48.89</v>
      </c>
      <c r="AO190">
        <v>100.21</v>
      </c>
      <c r="AP190">
        <v>0</v>
      </c>
      <c r="AQ190">
        <v>13.22</v>
      </c>
      <c r="AR190">
        <v>3.79</v>
      </c>
      <c r="AS190">
        <v>0</v>
      </c>
      <c r="AT190">
        <v>147</v>
      </c>
      <c r="AU190">
        <v>134</v>
      </c>
      <c r="AV190">
        <v>1</v>
      </c>
      <c r="AW190">
        <v>1</v>
      </c>
      <c r="AZ190">
        <v>1</v>
      </c>
      <c r="BA190">
        <v>28.93</v>
      </c>
      <c r="BB190">
        <v>1</v>
      </c>
      <c r="BC190">
        <v>1</v>
      </c>
      <c r="BD190" t="s">
        <v>3</v>
      </c>
      <c r="BE190" t="s">
        <v>3</v>
      </c>
      <c r="BF190" t="s">
        <v>3</v>
      </c>
      <c r="BG190" t="s">
        <v>3</v>
      </c>
      <c r="BH190">
        <v>0</v>
      </c>
      <c r="BI190">
        <v>1</v>
      </c>
      <c r="BJ190" t="s">
        <v>261</v>
      </c>
      <c r="BM190">
        <v>27006</v>
      </c>
      <c r="BN190">
        <v>0</v>
      </c>
      <c r="BO190" t="s">
        <v>3</v>
      </c>
      <c r="BP190">
        <v>0</v>
      </c>
      <c r="BQ190">
        <v>2</v>
      </c>
      <c r="BR190">
        <v>0</v>
      </c>
      <c r="BS190">
        <v>28.93</v>
      </c>
      <c r="BT190">
        <v>1</v>
      </c>
      <c r="BU190">
        <v>1</v>
      </c>
      <c r="BV190">
        <v>1</v>
      </c>
      <c r="BW190">
        <v>1</v>
      </c>
      <c r="BX190">
        <v>1</v>
      </c>
      <c r="BY190" t="s">
        <v>3</v>
      </c>
      <c r="BZ190">
        <v>147</v>
      </c>
      <c r="CA190">
        <v>134</v>
      </c>
      <c r="CB190" t="s">
        <v>3</v>
      </c>
      <c r="CE190">
        <v>0</v>
      </c>
      <c r="CF190">
        <v>0</v>
      </c>
      <c r="CG190">
        <v>0</v>
      </c>
      <c r="CM190">
        <v>0</v>
      </c>
      <c r="CN190" t="s">
        <v>3</v>
      </c>
      <c r="CO190">
        <v>0</v>
      </c>
      <c r="CP190">
        <f t="shared" si="150"/>
        <v>33.44</v>
      </c>
      <c r="CQ190">
        <f t="shared" si="151"/>
        <v>0</v>
      </c>
      <c r="CR190">
        <f t="shared" si="152"/>
        <v>604.97</v>
      </c>
      <c r="CS190">
        <f t="shared" si="153"/>
        <v>67.47</v>
      </c>
      <c r="CT190">
        <f t="shared" si="154"/>
        <v>138.29</v>
      </c>
      <c r="CU190">
        <f t="shared" si="155"/>
        <v>0</v>
      </c>
      <c r="CV190">
        <f t="shared" si="156"/>
        <v>18.243600000000001</v>
      </c>
      <c r="CW190">
        <f t="shared" si="157"/>
        <v>5.2302</v>
      </c>
      <c r="CX190">
        <f t="shared" si="158"/>
        <v>0</v>
      </c>
      <c r="CY190">
        <f t="shared" si="159"/>
        <v>13.6122</v>
      </c>
      <c r="CZ190">
        <f t="shared" si="160"/>
        <v>12.408399999999999</v>
      </c>
      <c r="DC190" t="s">
        <v>3</v>
      </c>
      <c r="DD190" t="s">
        <v>3</v>
      </c>
      <c r="DE190" t="s">
        <v>20</v>
      </c>
      <c r="DF190" t="s">
        <v>20</v>
      </c>
      <c r="DG190" t="s">
        <v>20</v>
      </c>
      <c r="DH190" t="s">
        <v>3</v>
      </c>
      <c r="DI190" t="s">
        <v>20</v>
      </c>
      <c r="DJ190" t="s">
        <v>20</v>
      </c>
      <c r="DK190" t="s">
        <v>3</v>
      </c>
      <c r="DL190" t="s">
        <v>3</v>
      </c>
      <c r="DM190" t="s">
        <v>3</v>
      </c>
      <c r="DN190">
        <v>0</v>
      </c>
      <c r="DO190">
        <v>0</v>
      </c>
      <c r="DP190">
        <v>1</v>
      </c>
      <c r="DQ190">
        <v>1</v>
      </c>
      <c r="DU190">
        <v>1007</v>
      </c>
      <c r="DV190" t="s">
        <v>251</v>
      </c>
      <c r="DW190" t="s">
        <v>251</v>
      </c>
      <c r="DX190">
        <v>100</v>
      </c>
      <c r="DZ190" t="s">
        <v>3</v>
      </c>
      <c r="EA190" t="s">
        <v>3</v>
      </c>
      <c r="EB190" t="s">
        <v>3</v>
      </c>
      <c r="EC190" t="s">
        <v>3</v>
      </c>
      <c r="EE190">
        <v>41328661</v>
      </c>
      <c r="EF190">
        <v>2</v>
      </c>
      <c r="EG190" t="s">
        <v>21</v>
      </c>
      <c r="EH190">
        <v>21</v>
      </c>
      <c r="EI190" t="s">
        <v>253</v>
      </c>
      <c r="EJ190">
        <v>1</v>
      </c>
      <c r="EK190">
        <v>27006</v>
      </c>
      <c r="EL190" t="s">
        <v>254</v>
      </c>
      <c r="EM190" t="s">
        <v>255</v>
      </c>
      <c r="EO190" t="s">
        <v>3</v>
      </c>
      <c r="EQ190">
        <v>0</v>
      </c>
      <c r="ER190">
        <v>538.59</v>
      </c>
      <c r="ES190">
        <v>0</v>
      </c>
      <c r="ET190">
        <v>438.38</v>
      </c>
      <c r="EU190">
        <v>48.89</v>
      </c>
      <c r="EV190">
        <v>100.21</v>
      </c>
      <c r="EW190">
        <v>13.22</v>
      </c>
      <c r="EX190">
        <v>3.79</v>
      </c>
      <c r="EY190">
        <v>0</v>
      </c>
      <c r="FQ190">
        <v>0</v>
      </c>
      <c r="FR190">
        <f t="shared" si="161"/>
        <v>0</v>
      </c>
      <c r="FS190">
        <v>0</v>
      </c>
      <c r="FX190">
        <v>147</v>
      </c>
      <c r="FY190">
        <v>134</v>
      </c>
      <c r="GA190" t="s">
        <v>3</v>
      </c>
      <c r="GD190">
        <v>1</v>
      </c>
      <c r="GF190">
        <v>-160796972</v>
      </c>
      <c r="GG190">
        <v>2</v>
      </c>
      <c r="GH190">
        <v>1</v>
      </c>
      <c r="GI190">
        <v>4</v>
      </c>
      <c r="GJ190">
        <v>0</v>
      </c>
      <c r="GK190">
        <v>0</v>
      </c>
      <c r="GL190">
        <f t="shared" si="162"/>
        <v>0</v>
      </c>
      <c r="GM190">
        <f t="shared" si="163"/>
        <v>59.46</v>
      </c>
      <c r="GN190">
        <f t="shared" si="164"/>
        <v>59.46</v>
      </c>
      <c r="GO190">
        <f t="shared" si="165"/>
        <v>0</v>
      </c>
      <c r="GP190">
        <f t="shared" si="166"/>
        <v>0</v>
      </c>
      <c r="GR190">
        <v>0</v>
      </c>
      <c r="GS190">
        <v>0</v>
      </c>
      <c r="GT190">
        <v>0</v>
      </c>
      <c r="GU190" t="s">
        <v>3</v>
      </c>
      <c r="GV190">
        <f t="shared" si="167"/>
        <v>0</v>
      </c>
      <c r="GW190">
        <v>1</v>
      </c>
      <c r="GX190">
        <f t="shared" si="168"/>
        <v>0</v>
      </c>
      <c r="HA190">
        <v>0</v>
      </c>
      <c r="HB190">
        <v>0</v>
      </c>
      <c r="HC190">
        <f t="shared" si="169"/>
        <v>0</v>
      </c>
      <c r="HE190" t="s">
        <v>3</v>
      </c>
      <c r="HF190" t="s">
        <v>3</v>
      </c>
      <c r="HI190">
        <f t="shared" si="170"/>
        <v>87.95</v>
      </c>
      <c r="HJ190">
        <f t="shared" si="171"/>
        <v>179.94</v>
      </c>
      <c r="HK190">
        <f t="shared" si="172"/>
        <v>393.8</v>
      </c>
      <c r="HL190">
        <f t="shared" si="173"/>
        <v>358.97</v>
      </c>
      <c r="HM190" t="s">
        <v>3</v>
      </c>
      <c r="HN190" t="s">
        <v>256</v>
      </c>
      <c r="HO190" t="s">
        <v>257</v>
      </c>
      <c r="HP190" t="s">
        <v>253</v>
      </c>
      <c r="HQ190" t="s">
        <v>253</v>
      </c>
      <c r="IK190">
        <v>0</v>
      </c>
    </row>
    <row r="191" spans="1:245">
      <c r="A191">
        <v>17</v>
      </c>
      <c r="B191">
        <v>1</v>
      </c>
      <c r="C191">
        <f>ROW(SmtRes!A167)</f>
        <v>167</v>
      </c>
      <c r="D191">
        <f>ROW(EtalonRes!A172)</f>
        <v>172</v>
      </c>
      <c r="E191" t="s">
        <v>262</v>
      </c>
      <c r="F191" t="s">
        <v>263</v>
      </c>
      <c r="G191" t="s">
        <v>264</v>
      </c>
      <c r="H191" t="s">
        <v>50</v>
      </c>
      <c r="I191">
        <f>ROUND(3*2.1+4.5*1.6,7)</f>
        <v>13.5</v>
      </c>
      <c r="J191">
        <v>0</v>
      </c>
      <c r="K191">
        <f>ROUND(3*2.1+4.5*1.6,7)</f>
        <v>13.5</v>
      </c>
      <c r="O191">
        <f t="shared" si="135"/>
        <v>575.1</v>
      </c>
      <c r="P191">
        <f t="shared" si="136"/>
        <v>0</v>
      </c>
      <c r="Q191">
        <f t="shared" si="137"/>
        <v>575.1</v>
      </c>
      <c r="R191">
        <f t="shared" si="138"/>
        <v>0</v>
      </c>
      <c r="S191">
        <f t="shared" si="139"/>
        <v>0</v>
      </c>
      <c r="T191">
        <f t="shared" si="140"/>
        <v>0</v>
      </c>
      <c r="U191">
        <f t="shared" si="141"/>
        <v>7.7989499999999996</v>
      </c>
      <c r="V191">
        <f t="shared" si="142"/>
        <v>3.9149999999999996</v>
      </c>
      <c r="W191">
        <f t="shared" si="143"/>
        <v>0</v>
      </c>
      <c r="X191">
        <f t="shared" si="144"/>
        <v>0</v>
      </c>
      <c r="Y191">
        <f t="shared" si="145"/>
        <v>0</v>
      </c>
      <c r="AA191">
        <v>47920234</v>
      </c>
      <c r="AB191">
        <f t="shared" si="146"/>
        <v>42.6</v>
      </c>
      <c r="AC191">
        <f t="shared" si="147"/>
        <v>0</v>
      </c>
      <c r="AD191">
        <f>ROUND(((ET191)+ROUND(((EU191)*1.6),2)),2)</f>
        <v>42.6</v>
      </c>
      <c r="AE191">
        <f>ROUND(((EU191)+ROUND(((EU191)*1.6),2)),2)</f>
        <v>0</v>
      </c>
      <c r="AF191">
        <f>ROUND(((EV191)+ROUND(((EV191)*1.6),2)),2)</f>
        <v>0</v>
      </c>
      <c r="AG191">
        <f t="shared" si="148"/>
        <v>0</v>
      </c>
      <c r="AH191">
        <f>(EW191)</f>
        <v>0.57769999999999999</v>
      </c>
      <c r="AI191">
        <f>(EX191)</f>
        <v>0.28999999999999998</v>
      </c>
      <c r="AJ191">
        <f t="shared" si="149"/>
        <v>0</v>
      </c>
      <c r="AK191">
        <v>42.6</v>
      </c>
      <c r="AL191">
        <v>0</v>
      </c>
      <c r="AM191">
        <v>42.6</v>
      </c>
      <c r="AN191">
        <v>0</v>
      </c>
      <c r="AO191">
        <v>0</v>
      </c>
      <c r="AP191">
        <v>0</v>
      </c>
      <c r="AQ191">
        <v>0.57769999999999999</v>
      </c>
      <c r="AR191">
        <v>0.28999999999999998</v>
      </c>
      <c r="AS191">
        <v>0</v>
      </c>
      <c r="AT191">
        <v>0</v>
      </c>
      <c r="AU191">
        <v>0</v>
      </c>
      <c r="AV191">
        <v>1</v>
      </c>
      <c r="AW191">
        <v>1</v>
      </c>
      <c r="AZ191">
        <v>1</v>
      </c>
      <c r="BA191">
        <v>28.93</v>
      </c>
      <c r="BB191">
        <v>1</v>
      </c>
      <c r="BC191">
        <v>1</v>
      </c>
      <c r="BD191" t="s">
        <v>3</v>
      </c>
      <c r="BE191" t="s">
        <v>3</v>
      </c>
      <c r="BF191" t="s">
        <v>3</v>
      </c>
      <c r="BG191" t="s">
        <v>3</v>
      </c>
      <c r="BH191">
        <v>0</v>
      </c>
      <c r="BI191">
        <v>1</v>
      </c>
      <c r="BJ191" t="s">
        <v>265</v>
      </c>
      <c r="BM191">
        <v>700004</v>
      </c>
      <c r="BN191">
        <v>0</v>
      </c>
      <c r="BO191" t="s">
        <v>3</v>
      </c>
      <c r="BP191">
        <v>0</v>
      </c>
      <c r="BQ191">
        <v>19</v>
      </c>
      <c r="BR191">
        <v>0</v>
      </c>
      <c r="BS191">
        <v>28.93</v>
      </c>
      <c r="BT191">
        <v>1</v>
      </c>
      <c r="BU191">
        <v>1</v>
      </c>
      <c r="BV191">
        <v>1</v>
      </c>
      <c r="BW191">
        <v>1</v>
      </c>
      <c r="BX191">
        <v>1</v>
      </c>
      <c r="BY191" t="s">
        <v>3</v>
      </c>
      <c r="BZ191">
        <v>0</v>
      </c>
      <c r="CA191">
        <v>0</v>
      </c>
      <c r="CB191" t="s">
        <v>3</v>
      </c>
      <c r="CE191">
        <v>0</v>
      </c>
      <c r="CF191">
        <v>0</v>
      </c>
      <c r="CG191">
        <v>0</v>
      </c>
      <c r="CM191">
        <v>0</v>
      </c>
      <c r="CN191" t="s">
        <v>3</v>
      </c>
      <c r="CO191">
        <v>0</v>
      </c>
      <c r="CP191">
        <f t="shared" si="150"/>
        <v>575.1</v>
      </c>
      <c r="CQ191">
        <f t="shared" si="151"/>
        <v>0</v>
      </c>
      <c r="CR191">
        <f t="shared" si="152"/>
        <v>42.6</v>
      </c>
      <c r="CS191">
        <f t="shared" si="153"/>
        <v>0</v>
      </c>
      <c r="CT191">
        <f t="shared" si="154"/>
        <v>0</v>
      </c>
      <c r="CU191">
        <f t="shared" si="155"/>
        <v>0</v>
      </c>
      <c r="CV191">
        <f t="shared" si="156"/>
        <v>0.57769999999999999</v>
      </c>
      <c r="CW191">
        <f t="shared" si="157"/>
        <v>0.28999999999999998</v>
      </c>
      <c r="CX191">
        <f t="shared" si="158"/>
        <v>0</v>
      </c>
      <c r="CY191">
        <f t="shared" si="159"/>
        <v>0</v>
      </c>
      <c r="CZ191">
        <f t="shared" si="160"/>
        <v>0</v>
      </c>
      <c r="DC191" t="s">
        <v>3</v>
      </c>
      <c r="DD191" t="s">
        <v>3</v>
      </c>
      <c r="DE191" t="s">
        <v>3</v>
      </c>
      <c r="DF191" t="s">
        <v>3</v>
      </c>
      <c r="DG191" t="s">
        <v>3</v>
      </c>
      <c r="DH191" t="s">
        <v>3</v>
      </c>
      <c r="DI191" t="s">
        <v>3</v>
      </c>
      <c r="DJ191" t="s">
        <v>3</v>
      </c>
      <c r="DK191" t="s">
        <v>3</v>
      </c>
      <c r="DL191" t="s">
        <v>3</v>
      </c>
      <c r="DM191" t="s">
        <v>3</v>
      </c>
      <c r="DN191">
        <v>0</v>
      </c>
      <c r="DO191">
        <v>0</v>
      </c>
      <c r="DP191">
        <v>1</v>
      </c>
      <c r="DQ191">
        <v>1</v>
      </c>
      <c r="DU191">
        <v>1013</v>
      </c>
      <c r="DV191" t="s">
        <v>50</v>
      </c>
      <c r="DW191" t="s">
        <v>50</v>
      </c>
      <c r="DX191">
        <v>1</v>
      </c>
      <c r="DZ191" t="s">
        <v>3</v>
      </c>
      <c r="EA191" t="s">
        <v>3</v>
      </c>
      <c r="EB191" t="s">
        <v>3</v>
      </c>
      <c r="EC191" t="s">
        <v>3</v>
      </c>
      <c r="EE191">
        <v>41328485</v>
      </c>
      <c r="EF191">
        <v>19</v>
      </c>
      <c r="EG191" t="s">
        <v>52</v>
      </c>
      <c r="EH191">
        <v>106</v>
      </c>
      <c r="EI191" t="s">
        <v>52</v>
      </c>
      <c r="EJ191">
        <v>1</v>
      </c>
      <c r="EK191">
        <v>700004</v>
      </c>
      <c r="EL191" t="s">
        <v>52</v>
      </c>
      <c r="EM191" t="s">
        <v>53</v>
      </c>
      <c r="EO191" t="s">
        <v>3</v>
      </c>
      <c r="EQ191">
        <v>0</v>
      </c>
      <c r="ER191">
        <v>42.6</v>
      </c>
      <c r="ES191">
        <v>0</v>
      </c>
      <c r="ET191">
        <v>42.6</v>
      </c>
      <c r="EU191">
        <v>0</v>
      </c>
      <c r="EV191">
        <v>0</v>
      </c>
      <c r="EW191">
        <v>0.57769999999999999</v>
      </c>
      <c r="EX191">
        <v>0.28999999999999998</v>
      </c>
      <c r="EY191">
        <v>0</v>
      </c>
      <c r="FQ191">
        <v>0</v>
      </c>
      <c r="FR191">
        <f t="shared" si="161"/>
        <v>0</v>
      </c>
      <c r="FS191">
        <v>0</v>
      </c>
      <c r="FX191">
        <v>0</v>
      </c>
      <c r="FY191">
        <v>0</v>
      </c>
      <c r="GA191" t="s">
        <v>3</v>
      </c>
      <c r="GD191">
        <v>1</v>
      </c>
      <c r="GF191">
        <v>78683287</v>
      </c>
      <c r="GG191">
        <v>2</v>
      </c>
      <c r="GH191">
        <v>1</v>
      </c>
      <c r="GI191">
        <v>4</v>
      </c>
      <c r="GJ191">
        <v>0</v>
      </c>
      <c r="GK191">
        <v>0</v>
      </c>
      <c r="GL191">
        <f t="shared" si="162"/>
        <v>0</v>
      </c>
      <c r="GM191">
        <f t="shared" si="163"/>
        <v>575.1</v>
      </c>
      <c r="GN191">
        <f t="shared" si="164"/>
        <v>575.1</v>
      </c>
      <c r="GO191">
        <f t="shared" si="165"/>
        <v>0</v>
      </c>
      <c r="GP191">
        <f t="shared" si="166"/>
        <v>0</v>
      </c>
      <c r="GR191">
        <v>0</v>
      </c>
      <c r="GS191">
        <v>0</v>
      </c>
      <c r="GT191">
        <v>0</v>
      </c>
      <c r="GU191" t="s">
        <v>3</v>
      </c>
      <c r="GV191">
        <f t="shared" si="167"/>
        <v>0</v>
      </c>
      <c r="GW191">
        <v>1</v>
      </c>
      <c r="GX191">
        <f t="shared" si="168"/>
        <v>0</v>
      </c>
      <c r="HA191">
        <v>0</v>
      </c>
      <c r="HB191">
        <v>0</v>
      </c>
      <c r="HC191">
        <f t="shared" si="169"/>
        <v>0</v>
      </c>
      <c r="HD191">
        <f>GM191</f>
        <v>575.1</v>
      </c>
      <c r="HE191" t="s">
        <v>3</v>
      </c>
      <c r="HF191" t="s">
        <v>3</v>
      </c>
      <c r="HI191">
        <f t="shared" si="170"/>
        <v>0</v>
      </c>
      <c r="HJ191">
        <f t="shared" si="171"/>
        <v>0</v>
      </c>
      <c r="HK191">
        <f t="shared" si="172"/>
        <v>0</v>
      </c>
      <c r="HL191">
        <f t="shared" si="173"/>
        <v>0</v>
      </c>
      <c r="HM191" t="s">
        <v>3</v>
      </c>
      <c r="HN191" t="s">
        <v>3</v>
      </c>
      <c r="HO191" t="s">
        <v>3</v>
      </c>
      <c r="HP191" t="s">
        <v>3</v>
      </c>
      <c r="HQ191" t="s">
        <v>3</v>
      </c>
      <c r="IK191">
        <v>0</v>
      </c>
    </row>
    <row r="192" spans="1:245">
      <c r="A192">
        <v>17</v>
      </c>
      <c r="B192">
        <v>1</v>
      </c>
      <c r="E192" t="s">
        <v>266</v>
      </c>
      <c r="F192" t="s">
        <v>267</v>
      </c>
      <c r="G192" t="s">
        <v>268</v>
      </c>
      <c r="H192" t="s">
        <v>50</v>
      </c>
      <c r="I192">
        <v>13.5</v>
      </c>
      <c r="J192">
        <v>0</v>
      </c>
      <c r="K192">
        <v>13.5</v>
      </c>
      <c r="O192">
        <f t="shared" si="135"/>
        <v>144.72</v>
      </c>
      <c r="P192">
        <f t="shared" si="136"/>
        <v>0</v>
      </c>
      <c r="Q192">
        <f t="shared" si="137"/>
        <v>144.72</v>
      </c>
      <c r="R192">
        <f t="shared" si="138"/>
        <v>0</v>
      </c>
      <c r="S192">
        <f t="shared" si="139"/>
        <v>0</v>
      </c>
      <c r="T192">
        <f t="shared" si="140"/>
        <v>0</v>
      </c>
      <c r="U192">
        <f t="shared" si="141"/>
        <v>0</v>
      </c>
      <c r="V192">
        <f t="shared" si="142"/>
        <v>0</v>
      </c>
      <c r="W192">
        <f t="shared" si="143"/>
        <v>0</v>
      </c>
      <c r="X192">
        <f t="shared" si="144"/>
        <v>0</v>
      </c>
      <c r="Y192">
        <f t="shared" si="145"/>
        <v>0</v>
      </c>
      <c r="AA192">
        <v>47920234</v>
      </c>
      <c r="AB192">
        <f t="shared" si="146"/>
        <v>10.72</v>
      </c>
      <c r="AC192">
        <f t="shared" si="147"/>
        <v>0</v>
      </c>
      <c r="AD192">
        <f>ROUND((((ET192)-(EU192))+AE192),2)</f>
        <v>10.72</v>
      </c>
      <c r="AE192">
        <f>ROUND((EU192),2)</f>
        <v>0</v>
      </c>
      <c r="AF192">
        <f>ROUND((EV192),2)</f>
        <v>0</v>
      </c>
      <c r="AG192">
        <f t="shared" si="148"/>
        <v>0</v>
      </c>
      <c r="AH192">
        <f>(EW192)</f>
        <v>0</v>
      </c>
      <c r="AI192">
        <f>(EX192)</f>
        <v>0</v>
      </c>
      <c r="AJ192">
        <f t="shared" si="149"/>
        <v>0</v>
      </c>
      <c r="AK192">
        <v>10.72</v>
      </c>
      <c r="AL192">
        <v>0</v>
      </c>
      <c r="AM192">
        <v>10.72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1</v>
      </c>
      <c r="AW192">
        <v>1</v>
      </c>
      <c r="AZ192">
        <v>1</v>
      </c>
      <c r="BA192">
        <v>28.93</v>
      </c>
      <c r="BB192">
        <v>1</v>
      </c>
      <c r="BC192">
        <v>1</v>
      </c>
      <c r="BD192" t="s">
        <v>3</v>
      </c>
      <c r="BE192" t="s">
        <v>3</v>
      </c>
      <c r="BF192" t="s">
        <v>3</v>
      </c>
      <c r="BG192" t="s">
        <v>3</v>
      </c>
      <c r="BH192">
        <v>0</v>
      </c>
      <c r="BI192">
        <v>1</v>
      </c>
      <c r="BJ192" t="s">
        <v>269</v>
      </c>
      <c r="BM192">
        <v>700005</v>
      </c>
      <c r="BN192">
        <v>0</v>
      </c>
      <c r="BO192" t="s">
        <v>3</v>
      </c>
      <c r="BP192">
        <v>0</v>
      </c>
      <c r="BQ192">
        <v>10</v>
      </c>
      <c r="BR192">
        <v>0</v>
      </c>
      <c r="BS192">
        <v>28.93</v>
      </c>
      <c r="BT192">
        <v>1</v>
      </c>
      <c r="BU192">
        <v>1</v>
      </c>
      <c r="BV192">
        <v>1</v>
      </c>
      <c r="BW192">
        <v>1</v>
      </c>
      <c r="BX192">
        <v>1</v>
      </c>
      <c r="BY192" t="s">
        <v>3</v>
      </c>
      <c r="BZ192">
        <v>0</v>
      </c>
      <c r="CA192">
        <v>0</v>
      </c>
      <c r="CB192" t="s">
        <v>3</v>
      </c>
      <c r="CE192">
        <v>0</v>
      </c>
      <c r="CF192">
        <v>0</v>
      </c>
      <c r="CG192">
        <v>0</v>
      </c>
      <c r="CM192">
        <v>0</v>
      </c>
      <c r="CN192" t="s">
        <v>3</v>
      </c>
      <c r="CO192">
        <v>0</v>
      </c>
      <c r="CP192">
        <f t="shared" si="150"/>
        <v>144.72</v>
      </c>
      <c r="CQ192">
        <f t="shared" si="151"/>
        <v>0</v>
      </c>
      <c r="CR192">
        <f t="shared" si="152"/>
        <v>10.72</v>
      </c>
      <c r="CS192">
        <f t="shared" si="153"/>
        <v>0</v>
      </c>
      <c r="CT192">
        <f t="shared" si="154"/>
        <v>0</v>
      </c>
      <c r="CU192">
        <f t="shared" si="155"/>
        <v>0</v>
      </c>
      <c r="CV192">
        <f t="shared" si="156"/>
        <v>0</v>
      </c>
      <c r="CW192">
        <f t="shared" si="157"/>
        <v>0</v>
      </c>
      <c r="CX192">
        <f t="shared" si="158"/>
        <v>0</v>
      </c>
      <c r="CY192">
        <f t="shared" si="159"/>
        <v>0</v>
      </c>
      <c r="CZ192">
        <f t="shared" si="160"/>
        <v>0</v>
      </c>
      <c r="DC192" t="s">
        <v>3</v>
      </c>
      <c r="DD192" t="s">
        <v>3</v>
      </c>
      <c r="DE192" t="s">
        <v>3</v>
      </c>
      <c r="DF192" t="s">
        <v>3</v>
      </c>
      <c r="DG192" t="s">
        <v>3</v>
      </c>
      <c r="DH192" t="s">
        <v>3</v>
      </c>
      <c r="DI192" t="s">
        <v>3</v>
      </c>
      <c r="DJ192" t="s">
        <v>3</v>
      </c>
      <c r="DK192" t="s">
        <v>3</v>
      </c>
      <c r="DL192" t="s">
        <v>3</v>
      </c>
      <c r="DM192" t="s">
        <v>3</v>
      </c>
      <c r="DN192">
        <v>0</v>
      </c>
      <c r="DO192">
        <v>0</v>
      </c>
      <c r="DP192">
        <v>1</v>
      </c>
      <c r="DQ192">
        <v>1</v>
      </c>
      <c r="DU192">
        <v>1013</v>
      </c>
      <c r="DV192" t="s">
        <v>50</v>
      </c>
      <c r="DW192" t="s">
        <v>50</v>
      </c>
      <c r="DX192">
        <v>1</v>
      </c>
      <c r="DZ192" t="s">
        <v>3</v>
      </c>
      <c r="EA192" t="s">
        <v>3</v>
      </c>
      <c r="EB192" t="s">
        <v>3</v>
      </c>
      <c r="EC192" t="s">
        <v>3</v>
      </c>
      <c r="EE192">
        <v>41328488</v>
      </c>
      <c r="EF192">
        <v>10</v>
      </c>
      <c r="EG192" t="s">
        <v>58</v>
      </c>
      <c r="EH192">
        <v>107</v>
      </c>
      <c r="EI192" t="s">
        <v>270</v>
      </c>
      <c r="EJ192">
        <v>1</v>
      </c>
      <c r="EK192">
        <v>700005</v>
      </c>
      <c r="EL192" t="s">
        <v>270</v>
      </c>
      <c r="EM192" t="s">
        <v>271</v>
      </c>
      <c r="EO192" t="s">
        <v>3</v>
      </c>
      <c r="EQ192">
        <v>0</v>
      </c>
      <c r="ER192">
        <v>10.72</v>
      </c>
      <c r="ES192">
        <v>0</v>
      </c>
      <c r="ET192">
        <v>10.72</v>
      </c>
      <c r="EU192">
        <v>0</v>
      </c>
      <c r="EV192">
        <v>0</v>
      </c>
      <c r="EW192">
        <v>0</v>
      </c>
      <c r="EX192">
        <v>0</v>
      </c>
      <c r="EY192">
        <v>0</v>
      </c>
      <c r="FQ192">
        <v>0</v>
      </c>
      <c r="FR192">
        <f t="shared" si="161"/>
        <v>0</v>
      </c>
      <c r="FS192">
        <v>0</v>
      </c>
      <c r="FX192">
        <v>0</v>
      </c>
      <c r="FY192">
        <v>0</v>
      </c>
      <c r="GA192" t="s">
        <v>3</v>
      </c>
      <c r="GD192">
        <v>1</v>
      </c>
      <c r="GF192">
        <v>-348312005</v>
      </c>
      <c r="GG192">
        <v>2</v>
      </c>
      <c r="GH192">
        <v>1</v>
      </c>
      <c r="GI192">
        <v>4</v>
      </c>
      <c r="GJ192">
        <v>0</v>
      </c>
      <c r="GK192">
        <v>0</v>
      </c>
      <c r="GL192">
        <f t="shared" si="162"/>
        <v>0</v>
      </c>
      <c r="GM192">
        <f t="shared" si="163"/>
        <v>144.72</v>
      </c>
      <c r="GN192">
        <f t="shared" si="164"/>
        <v>144.72</v>
      </c>
      <c r="GO192">
        <f t="shared" si="165"/>
        <v>0</v>
      </c>
      <c r="GP192">
        <f t="shared" si="166"/>
        <v>0</v>
      </c>
      <c r="GR192">
        <v>0</v>
      </c>
      <c r="GS192">
        <v>3</v>
      </c>
      <c r="GT192">
        <v>0</v>
      </c>
      <c r="GU192" t="s">
        <v>3</v>
      </c>
      <c r="GV192">
        <f t="shared" si="167"/>
        <v>0</v>
      </c>
      <c r="GW192">
        <v>1</v>
      </c>
      <c r="GX192">
        <f t="shared" si="168"/>
        <v>0</v>
      </c>
      <c r="HA192">
        <v>0</v>
      </c>
      <c r="HB192">
        <v>0</v>
      </c>
      <c r="HC192">
        <f t="shared" si="169"/>
        <v>0</v>
      </c>
      <c r="HD192">
        <f>GM192</f>
        <v>144.72</v>
      </c>
      <c r="HE192" t="s">
        <v>3</v>
      </c>
      <c r="HF192" t="s">
        <v>3</v>
      </c>
      <c r="HI192">
        <f t="shared" si="170"/>
        <v>0</v>
      </c>
      <c r="HJ192">
        <f t="shared" si="171"/>
        <v>0</v>
      </c>
      <c r="HK192">
        <f t="shared" si="172"/>
        <v>0</v>
      </c>
      <c r="HL192">
        <f t="shared" si="173"/>
        <v>0</v>
      </c>
      <c r="HM192" t="s">
        <v>3</v>
      </c>
      <c r="HN192" t="s">
        <v>3</v>
      </c>
      <c r="HO192" t="s">
        <v>3</v>
      </c>
      <c r="HP192" t="s">
        <v>3</v>
      </c>
      <c r="HQ192" t="s">
        <v>3</v>
      </c>
      <c r="IK192">
        <v>0</v>
      </c>
    </row>
    <row r="193" spans="1:245">
      <c r="A193">
        <v>17</v>
      </c>
      <c r="B193">
        <v>1</v>
      </c>
      <c r="C193">
        <f>ROW(SmtRes!A172)</f>
        <v>172</v>
      </c>
      <c r="D193">
        <f>ROW(EtalonRes!A177)</f>
        <v>177</v>
      </c>
      <c r="E193" t="s">
        <v>3</v>
      </c>
      <c r="F193" t="s">
        <v>272</v>
      </c>
      <c r="G193" t="s">
        <v>273</v>
      </c>
      <c r="H193" t="s">
        <v>33</v>
      </c>
      <c r="I193">
        <f>ROUND(30*0.3/1000,7)</f>
        <v>8.9999999999999993E-3</v>
      </c>
      <c r="J193">
        <v>0</v>
      </c>
      <c r="K193">
        <f>ROUND(30*0.3/1000,7)</f>
        <v>8.9999999999999993E-3</v>
      </c>
      <c r="O193">
        <f t="shared" si="135"/>
        <v>58.15</v>
      </c>
      <c r="P193">
        <f t="shared" si="136"/>
        <v>0.1</v>
      </c>
      <c r="Q193">
        <f t="shared" si="137"/>
        <v>56.63</v>
      </c>
      <c r="R193">
        <f t="shared" si="138"/>
        <v>7.11</v>
      </c>
      <c r="S193">
        <f t="shared" si="139"/>
        <v>1.42</v>
      </c>
      <c r="T193">
        <f t="shared" si="140"/>
        <v>0</v>
      </c>
      <c r="U193">
        <f t="shared" si="141"/>
        <v>0.18729359999999998</v>
      </c>
      <c r="V193">
        <f t="shared" si="142"/>
        <v>0.54176039999999992</v>
      </c>
      <c r="W193">
        <f t="shared" si="143"/>
        <v>0</v>
      </c>
      <c r="X193">
        <f t="shared" si="144"/>
        <v>7.85</v>
      </c>
      <c r="Y193">
        <f t="shared" si="145"/>
        <v>3.92</v>
      </c>
      <c r="AA193">
        <v>-1</v>
      </c>
      <c r="AB193">
        <f t="shared" si="146"/>
        <v>6460.95</v>
      </c>
      <c r="AC193">
        <f t="shared" si="147"/>
        <v>11.17</v>
      </c>
      <c r="AD193">
        <f>ROUND(((((ET193*ROUND((1.2*1.15),7)))-((EU193*ROUND((1.2*1.15),7))))+AE193),2)</f>
        <v>6292.03</v>
      </c>
      <c r="AE193">
        <f>ROUND(((EU193*ROUND((1.2*1.15),7))),2)</f>
        <v>789.76</v>
      </c>
      <c r="AF193">
        <f>ROUND(((EV193*ROUND((1.2*1.15),7))),2)</f>
        <v>157.75</v>
      </c>
      <c r="AG193">
        <f t="shared" si="148"/>
        <v>0</v>
      </c>
      <c r="AH193">
        <f>((EW193*ROUND((1.2*1.15),7)))</f>
        <v>20.810399999999998</v>
      </c>
      <c r="AI193">
        <f>((EX193*ROUND((1.2*1.15),7)))</f>
        <v>60.195599999999992</v>
      </c>
      <c r="AJ193">
        <f t="shared" si="149"/>
        <v>0</v>
      </c>
      <c r="AK193">
        <v>4684.92</v>
      </c>
      <c r="AL193">
        <v>11.17</v>
      </c>
      <c r="AM193">
        <v>4559.4399999999996</v>
      </c>
      <c r="AN193">
        <v>572.29</v>
      </c>
      <c r="AO193">
        <v>114.31</v>
      </c>
      <c r="AP193">
        <v>0</v>
      </c>
      <c r="AQ193">
        <v>15.08</v>
      </c>
      <c r="AR193">
        <v>43.62</v>
      </c>
      <c r="AS193">
        <v>0</v>
      </c>
      <c r="AT193">
        <v>92</v>
      </c>
      <c r="AU193">
        <v>46</v>
      </c>
      <c r="AV193">
        <v>1</v>
      </c>
      <c r="AW193">
        <v>1</v>
      </c>
      <c r="AZ193">
        <v>1</v>
      </c>
      <c r="BA193">
        <v>28.93</v>
      </c>
      <c r="BB193">
        <v>1</v>
      </c>
      <c r="BC193">
        <v>1</v>
      </c>
      <c r="BD193" t="s">
        <v>3</v>
      </c>
      <c r="BE193" t="s">
        <v>3</v>
      </c>
      <c r="BF193" t="s">
        <v>3</v>
      </c>
      <c r="BG193" t="s">
        <v>3</v>
      </c>
      <c r="BH193">
        <v>0</v>
      </c>
      <c r="BI193">
        <v>1</v>
      </c>
      <c r="BJ193" t="s">
        <v>274</v>
      </c>
      <c r="BM193">
        <v>1001</v>
      </c>
      <c r="BN193">
        <v>0</v>
      </c>
      <c r="BO193" t="s">
        <v>3</v>
      </c>
      <c r="BP193">
        <v>0</v>
      </c>
      <c r="BQ193">
        <v>2</v>
      </c>
      <c r="BR193">
        <v>0</v>
      </c>
      <c r="BS193">
        <v>28.93</v>
      </c>
      <c r="BT193">
        <v>1</v>
      </c>
      <c r="BU193">
        <v>1</v>
      </c>
      <c r="BV193">
        <v>1</v>
      </c>
      <c r="BW193">
        <v>1</v>
      </c>
      <c r="BX193">
        <v>1</v>
      </c>
      <c r="BY193" t="s">
        <v>3</v>
      </c>
      <c r="BZ193">
        <v>92</v>
      </c>
      <c r="CA193">
        <v>46</v>
      </c>
      <c r="CB193" t="s">
        <v>3</v>
      </c>
      <c r="CE193">
        <v>0</v>
      </c>
      <c r="CF193">
        <v>0</v>
      </c>
      <c r="CG193">
        <v>0</v>
      </c>
      <c r="CM193">
        <v>0</v>
      </c>
      <c r="CN193" t="s">
        <v>3</v>
      </c>
      <c r="CO193">
        <v>0</v>
      </c>
      <c r="CP193">
        <f t="shared" si="150"/>
        <v>58.150000000000006</v>
      </c>
      <c r="CQ193">
        <f t="shared" si="151"/>
        <v>11.17</v>
      </c>
      <c r="CR193">
        <f t="shared" si="152"/>
        <v>6292.03</v>
      </c>
      <c r="CS193">
        <f t="shared" si="153"/>
        <v>789.76</v>
      </c>
      <c r="CT193">
        <f t="shared" si="154"/>
        <v>157.75</v>
      </c>
      <c r="CU193">
        <f t="shared" si="155"/>
        <v>0</v>
      </c>
      <c r="CV193">
        <f t="shared" si="156"/>
        <v>20.810399999999998</v>
      </c>
      <c r="CW193">
        <f t="shared" si="157"/>
        <v>60.195599999999992</v>
      </c>
      <c r="CX193">
        <f t="shared" si="158"/>
        <v>0</v>
      </c>
      <c r="CY193">
        <f t="shared" si="159"/>
        <v>7.8476000000000008</v>
      </c>
      <c r="CZ193">
        <f t="shared" si="160"/>
        <v>3.9238000000000004</v>
      </c>
      <c r="DC193" t="s">
        <v>3</v>
      </c>
      <c r="DD193" t="s">
        <v>3</v>
      </c>
      <c r="DE193" t="s">
        <v>20</v>
      </c>
      <c r="DF193" t="s">
        <v>20</v>
      </c>
      <c r="DG193" t="s">
        <v>20</v>
      </c>
      <c r="DH193" t="s">
        <v>3</v>
      </c>
      <c r="DI193" t="s">
        <v>20</v>
      </c>
      <c r="DJ193" t="s">
        <v>20</v>
      </c>
      <c r="DK193" t="s">
        <v>3</v>
      </c>
      <c r="DL193" t="s">
        <v>3</v>
      </c>
      <c r="DM193" t="s">
        <v>3</v>
      </c>
      <c r="DN193">
        <v>0</v>
      </c>
      <c r="DO193">
        <v>0</v>
      </c>
      <c r="DP193">
        <v>1</v>
      </c>
      <c r="DQ193">
        <v>1</v>
      </c>
      <c r="DU193">
        <v>1007</v>
      </c>
      <c r="DV193" t="s">
        <v>33</v>
      </c>
      <c r="DW193" t="s">
        <v>33</v>
      </c>
      <c r="DX193">
        <v>1000</v>
      </c>
      <c r="DZ193" t="s">
        <v>3</v>
      </c>
      <c r="EA193" t="s">
        <v>3</v>
      </c>
      <c r="EB193" t="s">
        <v>3</v>
      </c>
      <c r="EC193" t="s">
        <v>3</v>
      </c>
      <c r="EE193">
        <v>41328262</v>
      </c>
      <c r="EF193">
        <v>2</v>
      </c>
      <c r="EG193" t="s">
        <v>21</v>
      </c>
      <c r="EH193">
        <v>1</v>
      </c>
      <c r="EI193" t="s">
        <v>14</v>
      </c>
      <c r="EJ193">
        <v>1</v>
      </c>
      <c r="EK193">
        <v>1001</v>
      </c>
      <c r="EL193" t="s">
        <v>35</v>
      </c>
      <c r="EM193" t="s">
        <v>23</v>
      </c>
      <c r="EO193" t="s">
        <v>3</v>
      </c>
      <c r="EQ193">
        <v>1024</v>
      </c>
      <c r="ER193">
        <v>4684.92</v>
      </c>
      <c r="ES193">
        <v>11.17</v>
      </c>
      <c r="ET193">
        <v>4559.4399999999996</v>
      </c>
      <c r="EU193">
        <v>572.29</v>
      </c>
      <c r="EV193">
        <v>114.31</v>
      </c>
      <c r="EW193">
        <v>15.08</v>
      </c>
      <c r="EX193">
        <v>43.62</v>
      </c>
      <c r="EY193">
        <v>0</v>
      </c>
      <c r="FQ193">
        <v>0</v>
      </c>
      <c r="FR193">
        <f t="shared" si="161"/>
        <v>0</v>
      </c>
      <c r="FS193">
        <v>0</v>
      </c>
      <c r="FX193">
        <v>92</v>
      </c>
      <c r="FY193">
        <v>46</v>
      </c>
      <c r="GA193" t="s">
        <v>3</v>
      </c>
      <c r="GD193">
        <v>1</v>
      </c>
      <c r="GF193">
        <v>890305207</v>
      </c>
      <c r="GG193">
        <v>2</v>
      </c>
      <c r="GH193">
        <v>1</v>
      </c>
      <c r="GI193">
        <v>4</v>
      </c>
      <c r="GJ193">
        <v>0</v>
      </c>
      <c r="GK193">
        <v>0</v>
      </c>
      <c r="GL193">
        <f t="shared" si="162"/>
        <v>0</v>
      </c>
      <c r="GM193">
        <f t="shared" si="163"/>
        <v>69.92</v>
      </c>
      <c r="GN193">
        <f t="shared" si="164"/>
        <v>69.92</v>
      </c>
      <c r="GO193">
        <f t="shared" si="165"/>
        <v>0</v>
      </c>
      <c r="GP193">
        <f t="shared" si="166"/>
        <v>0</v>
      </c>
      <c r="GR193">
        <v>0</v>
      </c>
      <c r="GS193">
        <v>3</v>
      </c>
      <c r="GT193">
        <v>0</v>
      </c>
      <c r="GU193" t="s">
        <v>3</v>
      </c>
      <c r="GV193">
        <f t="shared" si="167"/>
        <v>0</v>
      </c>
      <c r="GW193">
        <v>1</v>
      </c>
      <c r="GX193">
        <f t="shared" si="168"/>
        <v>0</v>
      </c>
      <c r="HA193">
        <v>0</v>
      </c>
      <c r="HB193">
        <v>0</v>
      </c>
      <c r="HC193">
        <f t="shared" si="169"/>
        <v>0</v>
      </c>
      <c r="HE193" t="s">
        <v>3</v>
      </c>
      <c r="HF193" t="s">
        <v>3</v>
      </c>
      <c r="HI193">
        <f t="shared" si="170"/>
        <v>205.69</v>
      </c>
      <c r="HJ193">
        <f t="shared" si="171"/>
        <v>41.08</v>
      </c>
      <c r="HK193">
        <f t="shared" si="172"/>
        <v>227.03</v>
      </c>
      <c r="HL193">
        <f t="shared" si="173"/>
        <v>113.51</v>
      </c>
      <c r="HM193" t="s">
        <v>3</v>
      </c>
      <c r="HN193" t="s">
        <v>36</v>
      </c>
      <c r="HO193" t="s">
        <v>37</v>
      </c>
      <c r="HP193" t="s">
        <v>35</v>
      </c>
      <c r="HQ193" t="s">
        <v>35</v>
      </c>
      <c r="IK193">
        <v>0</v>
      </c>
    </row>
    <row r="194" spans="1:245">
      <c r="A194">
        <v>17</v>
      </c>
      <c r="B194">
        <v>1</v>
      </c>
      <c r="E194" t="s">
        <v>3</v>
      </c>
      <c r="F194" t="s">
        <v>267</v>
      </c>
      <c r="G194" t="s">
        <v>268</v>
      </c>
      <c r="H194" t="s">
        <v>50</v>
      </c>
      <c r="I194">
        <f>ROUND(9*1.75,7)</f>
        <v>15.75</v>
      </c>
      <c r="J194">
        <v>0</v>
      </c>
      <c r="K194">
        <f>ROUND(9*1.75,7)</f>
        <v>15.75</v>
      </c>
      <c r="O194">
        <f t="shared" si="135"/>
        <v>168.84</v>
      </c>
      <c r="P194">
        <f t="shared" si="136"/>
        <v>0</v>
      </c>
      <c r="Q194">
        <f t="shared" si="137"/>
        <v>168.84</v>
      </c>
      <c r="R194">
        <f t="shared" si="138"/>
        <v>0</v>
      </c>
      <c r="S194">
        <f t="shared" si="139"/>
        <v>0</v>
      </c>
      <c r="T194">
        <f t="shared" si="140"/>
        <v>0</v>
      </c>
      <c r="U194">
        <f t="shared" si="141"/>
        <v>0</v>
      </c>
      <c r="V194">
        <f t="shared" si="142"/>
        <v>0</v>
      </c>
      <c r="W194">
        <f t="shared" si="143"/>
        <v>0</v>
      </c>
      <c r="X194">
        <f t="shared" si="144"/>
        <v>0</v>
      </c>
      <c r="Y194">
        <f t="shared" si="145"/>
        <v>0</v>
      </c>
      <c r="AA194">
        <v>-1</v>
      </c>
      <c r="AB194">
        <f t="shared" si="146"/>
        <v>10.72</v>
      </c>
      <c r="AC194">
        <f t="shared" si="147"/>
        <v>0</v>
      </c>
      <c r="AD194">
        <f>ROUND(((ET194)+ROUND(((EU194)*1.85),2)),2)</f>
        <v>10.72</v>
      </c>
      <c r="AE194">
        <f>ROUND(((EU194)+ROUND(((EU194)*1.85),2)),2)</f>
        <v>0</v>
      </c>
      <c r="AF194">
        <f>ROUND(((EV194)+ROUND(((EV194)*1.85),2)),2)</f>
        <v>0</v>
      </c>
      <c r="AG194">
        <f t="shared" si="148"/>
        <v>0</v>
      </c>
      <c r="AH194">
        <f>(EW194)</f>
        <v>0</v>
      </c>
      <c r="AI194">
        <f>(EX194)</f>
        <v>0</v>
      </c>
      <c r="AJ194">
        <f t="shared" si="149"/>
        <v>0</v>
      </c>
      <c r="AK194">
        <v>10.72</v>
      </c>
      <c r="AL194">
        <v>0</v>
      </c>
      <c r="AM194">
        <v>10.72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1</v>
      </c>
      <c r="AW194">
        <v>1</v>
      </c>
      <c r="AZ194">
        <v>1</v>
      </c>
      <c r="BA194">
        <v>28.93</v>
      </c>
      <c r="BB194">
        <v>1</v>
      </c>
      <c r="BC194">
        <v>1</v>
      </c>
      <c r="BD194" t="s">
        <v>3</v>
      </c>
      <c r="BE194" t="s">
        <v>3</v>
      </c>
      <c r="BF194" t="s">
        <v>3</v>
      </c>
      <c r="BG194" t="s">
        <v>3</v>
      </c>
      <c r="BH194">
        <v>0</v>
      </c>
      <c r="BI194">
        <v>1</v>
      </c>
      <c r="BJ194" t="s">
        <v>269</v>
      </c>
      <c r="BM194">
        <v>700001</v>
      </c>
      <c r="BN194">
        <v>0</v>
      </c>
      <c r="BO194" t="s">
        <v>3</v>
      </c>
      <c r="BP194">
        <v>0</v>
      </c>
      <c r="BQ194">
        <v>10</v>
      </c>
      <c r="BR194">
        <v>0</v>
      </c>
      <c r="BS194">
        <v>28.93</v>
      </c>
      <c r="BT194">
        <v>1</v>
      </c>
      <c r="BU194">
        <v>1</v>
      </c>
      <c r="BV194">
        <v>1</v>
      </c>
      <c r="BW194">
        <v>1</v>
      </c>
      <c r="BX194">
        <v>1</v>
      </c>
      <c r="BY194" t="s">
        <v>3</v>
      </c>
      <c r="BZ194">
        <v>0</v>
      </c>
      <c r="CA194">
        <v>0</v>
      </c>
      <c r="CB194" t="s">
        <v>3</v>
      </c>
      <c r="CE194">
        <v>0</v>
      </c>
      <c r="CF194">
        <v>0</v>
      </c>
      <c r="CG194">
        <v>0</v>
      </c>
      <c r="CM194">
        <v>0</v>
      </c>
      <c r="CN194" t="s">
        <v>3</v>
      </c>
      <c r="CO194">
        <v>0</v>
      </c>
      <c r="CP194">
        <f t="shared" si="150"/>
        <v>168.84</v>
      </c>
      <c r="CQ194">
        <f t="shared" si="151"/>
        <v>0</v>
      </c>
      <c r="CR194">
        <f t="shared" si="152"/>
        <v>10.72</v>
      </c>
      <c r="CS194">
        <f t="shared" si="153"/>
        <v>0</v>
      </c>
      <c r="CT194">
        <f t="shared" si="154"/>
        <v>0</v>
      </c>
      <c r="CU194">
        <f t="shared" si="155"/>
        <v>0</v>
      </c>
      <c r="CV194">
        <f t="shared" si="156"/>
        <v>0</v>
      </c>
      <c r="CW194">
        <f t="shared" si="157"/>
        <v>0</v>
      </c>
      <c r="CX194">
        <f t="shared" si="158"/>
        <v>0</v>
      </c>
      <c r="CY194">
        <f t="shared" si="159"/>
        <v>0</v>
      </c>
      <c r="CZ194">
        <f t="shared" si="160"/>
        <v>0</v>
      </c>
      <c r="DC194" t="s">
        <v>3</v>
      </c>
      <c r="DD194" t="s">
        <v>3</v>
      </c>
      <c r="DE194" t="s">
        <v>3</v>
      </c>
      <c r="DF194" t="s">
        <v>3</v>
      </c>
      <c r="DG194" t="s">
        <v>3</v>
      </c>
      <c r="DH194" t="s">
        <v>3</v>
      </c>
      <c r="DI194" t="s">
        <v>3</v>
      </c>
      <c r="DJ194" t="s">
        <v>3</v>
      </c>
      <c r="DK194" t="s">
        <v>3</v>
      </c>
      <c r="DL194" t="s">
        <v>3</v>
      </c>
      <c r="DM194" t="s">
        <v>3</v>
      </c>
      <c r="DN194">
        <v>0</v>
      </c>
      <c r="DO194">
        <v>0</v>
      </c>
      <c r="DP194">
        <v>1</v>
      </c>
      <c r="DQ194">
        <v>1</v>
      </c>
      <c r="DU194">
        <v>1013</v>
      </c>
      <c r="DV194" t="s">
        <v>50</v>
      </c>
      <c r="DW194" t="s">
        <v>50</v>
      </c>
      <c r="DX194">
        <v>1</v>
      </c>
      <c r="DZ194" t="s">
        <v>3</v>
      </c>
      <c r="EA194" t="s">
        <v>3</v>
      </c>
      <c r="EB194" t="s">
        <v>3</v>
      </c>
      <c r="EC194" t="s">
        <v>3</v>
      </c>
      <c r="EE194">
        <v>41328226</v>
      </c>
      <c r="EF194">
        <v>10</v>
      </c>
      <c r="EG194" t="s">
        <v>58</v>
      </c>
      <c r="EH194">
        <v>0</v>
      </c>
      <c r="EI194" t="s">
        <v>3</v>
      </c>
      <c r="EJ194">
        <v>1</v>
      </c>
      <c r="EK194">
        <v>700001</v>
      </c>
      <c r="EL194" t="s">
        <v>59</v>
      </c>
      <c r="EM194" t="s">
        <v>60</v>
      </c>
      <c r="EO194" t="s">
        <v>3</v>
      </c>
      <c r="EQ194">
        <v>1024</v>
      </c>
      <c r="ER194">
        <v>10.72</v>
      </c>
      <c r="ES194">
        <v>0</v>
      </c>
      <c r="ET194">
        <v>10.72</v>
      </c>
      <c r="EU194">
        <v>0</v>
      </c>
      <c r="EV194">
        <v>0</v>
      </c>
      <c r="EW194">
        <v>0</v>
      </c>
      <c r="EX194">
        <v>0</v>
      </c>
      <c r="EY194">
        <v>0</v>
      </c>
      <c r="FQ194">
        <v>0</v>
      </c>
      <c r="FR194">
        <f t="shared" si="161"/>
        <v>0</v>
      </c>
      <c r="FS194">
        <v>0</v>
      </c>
      <c r="FX194">
        <v>0</v>
      </c>
      <c r="FY194">
        <v>0</v>
      </c>
      <c r="GA194" t="s">
        <v>3</v>
      </c>
      <c r="GD194">
        <v>1</v>
      </c>
      <c r="GF194">
        <v>-348312005</v>
      </c>
      <c r="GG194">
        <v>2</v>
      </c>
      <c r="GH194">
        <v>1</v>
      </c>
      <c r="GI194">
        <v>4</v>
      </c>
      <c r="GJ194">
        <v>0</v>
      </c>
      <c r="GK194">
        <v>0</v>
      </c>
      <c r="GL194">
        <f t="shared" si="162"/>
        <v>0</v>
      </c>
      <c r="GM194">
        <f t="shared" si="163"/>
        <v>168.84</v>
      </c>
      <c r="GN194">
        <f t="shared" si="164"/>
        <v>168.84</v>
      </c>
      <c r="GO194">
        <f t="shared" si="165"/>
        <v>0</v>
      </c>
      <c r="GP194">
        <f t="shared" si="166"/>
        <v>0</v>
      </c>
      <c r="GR194">
        <v>0</v>
      </c>
      <c r="GS194">
        <v>3</v>
      </c>
      <c r="GT194">
        <v>0</v>
      </c>
      <c r="GU194" t="s">
        <v>3</v>
      </c>
      <c r="GV194">
        <f t="shared" si="167"/>
        <v>0</v>
      </c>
      <c r="GW194">
        <v>1</v>
      </c>
      <c r="GX194">
        <f t="shared" si="168"/>
        <v>0</v>
      </c>
      <c r="HA194">
        <v>0</v>
      </c>
      <c r="HB194">
        <v>0</v>
      </c>
      <c r="HC194">
        <f t="shared" si="169"/>
        <v>0</v>
      </c>
      <c r="HD194">
        <f>GM194</f>
        <v>168.84</v>
      </c>
      <c r="HE194" t="s">
        <v>3</v>
      </c>
      <c r="HF194" t="s">
        <v>3</v>
      </c>
      <c r="HI194">
        <f t="shared" si="170"/>
        <v>0</v>
      </c>
      <c r="HJ194">
        <f t="shared" si="171"/>
        <v>0</v>
      </c>
      <c r="HK194">
        <f t="shared" si="172"/>
        <v>0</v>
      </c>
      <c r="HL194">
        <f t="shared" si="173"/>
        <v>0</v>
      </c>
      <c r="HM194" t="s">
        <v>3</v>
      </c>
      <c r="HN194" t="s">
        <v>3</v>
      </c>
      <c r="HO194" t="s">
        <v>3</v>
      </c>
      <c r="HP194" t="s">
        <v>3</v>
      </c>
      <c r="HQ194" t="s">
        <v>3</v>
      </c>
      <c r="IK194">
        <v>0</v>
      </c>
    </row>
    <row r="195" spans="1:245">
      <c r="A195">
        <v>17</v>
      </c>
      <c r="B195">
        <v>1</v>
      </c>
      <c r="C195">
        <f>ROW(SmtRes!A175)</f>
        <v>175</v>
      </c>
      <c r="D195">
        <f>ROW(EtalonRes!A180)</f>
        <v>180</v>
      </c>
      <c r="E195" t="s">
        <v>3</v>
      </c>
      <c r="F195" t="s">
        <v>275</v>
      </c>
      <c r="G195" t="s">
        <v>276</v>
      </c>
      <c r="H195" t="s">
        <v>277</v>
      </c>
      <c r="I195">
        <f>ROUND(30/1000,7)</f>
        <v>0.03</v>
      </c>
      <c r="J195">
        <v>0</v>
      </c>
      <c r="K195">
        <f>ROUND(30/1000,7)</f>
        <v>0.03</v>
      </c>
      <c r="O195">
        <f t="shared" si="135"/>
        <v>4.63</v>
      </c>
      <c r="P195">
        <f t="shared" si="136"/>
        <v>0</v>
      </c>
      <c r="Q195">
        <f t="shared" si="137"/>
        <v>4.63</v>
      </c>
      <c r="R195">
        <f t="shared" si="138"/>
        <v>0.6</v>
      </c>
      <c r="S195">
        <f t="shared" si="139"/>
        <v>0</v>
      </c>
      <c r="T195">
        <f t="shared" si="140"/>
        <v>0</v>
      </c>
      <c r="U195">
        <f t="shared" si="141"/>
        <v>0</v>
      </c>
      <c r="V195">
        <f t="shared" si="142"/>
        <v>4.5539999999999997E-2</v>
      </c>
      <c r="W195">
        <f t="shared" si="143"/>
        <v>0</v>
      </c>
      <c r="X195">
        <f t="shared" si="144"/>
        <v>0.53</v>
      </c>
      <c r="Y195">
        <f t="shared" si="145"/>
        <v>0.25</v>
      </c>
      <c r="AA195">
        <v>-1</v>
      </c>
      <c r="AB195">
        <f t="shared" si="146"/>
        <v>154.16999999999999</v>
      </c>
      <c r="AC195">
        <f t="shared" si="147"/>
        <v>0</v>
      </c>
      <c r="AD195">
        <f>ROUND(((((ET195*ROUND((1.2*1.15),7)))-((EU195*ROUND((1.2*1.15),7))))+AE195),2)</f>
        <v>154.16999999999999</v>
      </c>
      <c r="AE195">
        <f t="shared" ref="AE195:AF198" si="174">ROUND(((EU195*ROUND((1.2*1.15),7))),2)</f>
        <v>19.91</v>
      </c>
      <c r="AF195">
        <f t="shared" si="174"/>
        <v>0</v>
      </c>
      <c r="AG195">
        <f t="shared" si="148"/>
        <v>0</v>
      </c>
      <c r="AH195">
        <f t="shared" ref="AH195:AI198" si="175">((EW195*ROUND((1.2*1.15),7)))</f>
        <v>0</v>
      </c>
      <c r="AI195">
        <f t="shared" si="175"/>
        <v>1.518</v>
      </c>
      <c r="AJ195">
        <f t="shared" si="149"/>
        <v>0</v>
      </c>
      <c r="AK195">
        <v>111.72</v>
      </c>
      <c r="AL195">
        <v>0</v>
      </c>
      <c r="AM195">
        <v>111.72</v>
      </c>
      <c r="AN195">
        <v>14.43</v>
      </c>
      <c r="AO195">
        <v>0</v>
      </c>
      <c r="AP195">
        <v>0</v>
      </c>
      <c r="AQ195">
        <v>0</v>
      </c>
      <c r="AR195">
        <v>1.1000000000000001</v>
      </c>
      <c r="AS195">
        <v>0</v>
      </c>
      <c r="AT195">
        <v>89</v>
      </c>
      <c r="AU195">
        <v>41</v>
      </c>
      <c r="AV195">
        <v>1</v>
      </c>
      <c r="AW195">
        <v>1</v>
      </c>
      <c r="AZ195">
        <v>1</v>
      </c>
      <c r="BA195">
        <v>28.93</v>
      </c>
      <c r="BB195">
        <v>1</v>
      </c>
      <c r="BC195">
        <v>1</v>
      </c>
      <c r="BD195" t="s">
        <v>3</v>
      </c>
      <c r="BE195" t="s">
        <v>3</v>
      </c>
      <c r="BF195" t="s">
        <v>3</v>
      </c>
      <c r="BG195" t="s">
        <v>3</v>
      </c>
      <c r="BH195">
        <v>0</v>
      </c>
      <c r="BI195">
        <v>1</v>
      </c>
      <c r="BJ195" t="s">
        <v>278</v>
      </c>
      <c r="BM195">
        <v>1006</v>
      </c>
      <c r="BN195">
        <v>0</v>
      </c>
      <c r="BO195" t="s">
        <v>3</v>
      </c>
      <c r="BP195">
        <v>0</v>
      </c>
      <c r="BQ195">
        <v>2</v>
      </c>
      <c r="BR195">
        <v>0</v>
      </c>
      <c r="BS195">
        <v>28.93</v>
      </c>
      <c r="BT195">
        <v>1</v>
      </c>
      <c r="BU195">
        <v>1</v>
      </c>
      <c r="BV195">
        <v>1</v>
      </c>
      <c r="BW195">
        <v>1</v>
      </c>
      <c r="BX195">
        <v>1</v>
      </c>
      <c r="BY195" t="s">
        <v>3</v>
      </c>
      <c r="BZ195">
        <v>89</v>
      </c>
      <c r="CA195">
        <v>41</v>
      </c>
      <c r="CB195" t="s">
        <v>3</v>
      </c>
      <c r="CE195">
        <v>0</v>
      </c>
      <c r="CF195">
        <v>0</v>
      </c>
      <c r="CG195">
        <v>0</v>
      </c>
      <c r="CM195">
        <v>0</v>
      </c>
      <c r="CN195" t="s">
        <v>3</v>
      </c>
      <c r="CO195">
        <v>0</v>
      </c>
      <c r="CP195">
        <f t="shared" si="150"/>
        <v>4.63</v>
      </c>
      <c r="CQ195">
        <f t="shared" si="151"/>
        <v>0</v>
      </c>
      <c r="CR195">
        <f t="shared" si="152"/>
        <v>154.16999999999999</v>
      </c>
      <c r="CS195">
        <f t="shared" si="153"/>
        <v>19.91</v>
      </c>
      <c r="CT195">
        <f t="shared" si="154"/>
        <v>0</v>
      </c>
      <c r="CU195">
        <f t="shared" si="155"/>
        <v>0</v>
      </c>
      <c r="CV195">
        <f t="shared" si="156"/>
        <v>0</v>
      </c>
      <c r="CW195">
        <f t="shared" si="157"/>
        <v>1.518</v>
      </c>
      <c r="CX195">
        <f t="shared" si="158"/>
        <v>0</v>
      </c>
      <c r="CY195">
        <f t="shared" si="159"/>
        <v>0.53400000000000003</v>
      </c>
      <c r="CZ195">
        <f t="shared" si="160"/>
        <v>0.24599999999999997</v>
      </c>
      <c r="DC195" t="s">
        <v>3</v>
      </c>
      <c r="DD195" t="s">
        <v>3</v>
      </c>
      <c r="DE195" t="s">
        <v>20</v>
      </c>
      <c r="DF195" t="s">
        <v>20</v>
      </c>
      <c r="DG195" t="s">
        <v>20</v>
      </c>
      <c r="DH195" t="s">
        <v>3</v>
      </c>
      <c r="DI195" t="s">
        <v>20</v>
      </c>
      <c r="DJ195" t="s">
        <v>20</v>
      </c>
      <c r="DK195" t="s">
        <v>3</v>
      </c>
      <c r="DL195" t="s">
        <v>3</v>
      </c>
      <c r="DM195" t="s">
        <v>3</v>
      </c>
      <c r="DN195">
        <v>0</v>
      </c>
      <c r="DO195">
        <v>0</v>
      </c>
      <c r="DP195">
        <v>1</v>
      </c>
      <c r="DQ195">
        <v>1</v>
      </c>
      <c r="DU195">
        <v>1013</v>
      </c>
      <c r="DV195" t="s">
        <v>277</v>
      </c>
      <c r="DW195" t="s">
        <v>277</v>
      </c>
      <c r="DX195">
        <v>1</v>
      </c>
      <c r="DZ195" t="s">
        <v>3</v>
      </c>
      <c r="EA195" t="s">
        <v>3</v>
      </c>
      <c r="EB195" t="s">
        <v>3</v>
      </c>
      <c r="EC195" t="s">
        <v>3</v>
      </c>
      <c r="EE195">
        <v>41328266</v>
      </c>
      <c r="EF195">
        <v>2</v>
      </c>
      <c r="EG195" t="s">
        <v>21</v>
      </c>
      <c r="EH195">
        <v>1</v>
      </c>
      <c r="EI195" t="s">
        <v>14</v>
      </c>
      <c r="EJ195">
        <v>1</v>
      </c>
      <c r="EK195">
        <v>1006</v>
      </c>
      <c r="EL195" t="s">
        <v>279</v>
      </c>
      <c r="EM195" t="s">
        <v>23</v>
      </c>
      <c r="EO195" t="s">
        <v>3</v>
      </c>
      <c r="EQ195">
        <v>1024</v>
      </c>
      <c r="ER195">
        <v>111.72</v>
      </c>
      <c r="ES195">
        <v>0</v>
      </c>
      <c r="ET195">
        <v>111.72</v>
      </c>
      <c r="EU195">
        <v>14.43</v>
      </c>
      <c r="EV195">
        <v>0</v>
      </c>
      <c r="EW195">
        <v>0</v>
      </c>
      <c r="EX195">
        <v>1.1000000000000001</v>
      </c>
      <c r="EY195">
        <v>0</v>
      </c>
      <c r="FQ195">
        <v>0</v>
      </c>
      <c r="FR195">
        <f t="shared" si="161"/>
        <v>0</v>
      </c>
      <c r="FS195">
        <v>0</v>
      </c>
      <c r="FX195">
        <v>89</v>
      </c>
      <c r="FY195">
        <v>41</v>
      </c>
      <c r="GA195" t="s">
        <v>3</v>
      </c>
      <c r="GD195">
        <v>1</v>
      </c>
      <c r="GF195">
        <v>-192613345</v>
      </c>
      <c r="GG195">
        <v>2</v>
      </c>
      <c r="GH195">
        <v>1</v>
      </c>
      <c r="GI195">
        <v>4</v>
      </c>
      <c r="GJ195">
        <v>0</v>
      </c>
      <c r="GK195">
        <v>0</v>
      </c>
      <c r="GL195">
        <f t="shared" si="162"/>
        <v>0</v>
      </c>
      <c r="GM195">
        <f t="shared" si="163"/>
        <v>5.41</v>
      </c>
      <c r="GN195">
        <f t="shared" si="164"/>
        <v>5.41</v>
      </c>
      <c r="GO195">
        <f t="shared" si="165"/>
        <v>0</v>
      </c>
      <c r="GP195">
        <f t="shared" si="166"/>
        <v>0</v>
      </c>
      <c r="GR195">
        <v>0</v>
      </c>
      <c r="GS195">
        <v>3</v>
      </c>
      <c r="GT195">
        <v>0</v>
      </c>
      <c r="GU195" t="s">
        <v>3</v>
      </c>
      <c r="GV195">
        <f t="shared" si="167"/>
        <v>0</v>
      </c>
      <c r="GW195">
        <v>1</v>
      </c>
      <c r="GX195">
        <f t="shared" si="168"/>
        <v>0</v>
      </c>
      <c r="HA195">
        <v>0</v>
      </c>
      <c r="HB195">
        <v>0</v>
      </c>
      <c r="HC195">
        <f t="shared" si="169"/>
        <v>0</v>
      </c>
      <c r="HE195" t="s">
        <v>3</v>
      </c>
      <c r="HF195" t="s">
        <v>3</v>
      </c>
      <c r="HI195">
        <f t="shared" si="170"/>
        <v>17.36</v>
      </c>
      <c r="HJ195">
        <f t="shared" si="171"/>
        <v>0</v>
      </c>
      <c r="HK195">
        <f t="shared" si="172"/>
        <v>15.45</v>
      </c>
      <c r="HL195">
        <f t="shared" si="173"/>
        <v>7.12</v>
      </c>
      <c r="HM195" t="s">
        <v>3</v>
      </c>
      <c r="HN195" t="s">
        <v>280</v>
      </c>
      <c r="HO195" t="s">
        <v>281</v>
      </c>
      <c r="HP195" t="s">
        <v>282</v>
      </c>
      <c r="HQ195" t="s">
        <v>282</v>
      </c>
      <c r="IK195">
        <v>0</v>
      </c>
    </row>
    <row r="196" spans="1:245">
      <c r="A196">
        <v>17</v>
      </c>
      <c r="B196">
        <v>1</v>
      </c>
      <c r="C196">
        <f>ROW(SmtRes!A179)</f>
        <v>179</v>
      </c>
      <c r="D196">
        <f>ROW(EtalonRes!A184)</f>
        <v>184</v>
      </c>
      <c r="E196" t="s">
        <v>3</v>
      </c>
      <c r="F196" t="s">
        <v>283</v>
      </c>
      <c r="G196" t="s">
        <v>284</v>
      </c>
      <c r="H196" t="s">
        <v>285</v>
      </c>
      <c r="I196">
        <f>ROUND(30*0.5/1000,7)</f>
        <v>1.4999999999999999E-2</v>
      </c>
      <c r="J196">
        <v>0</v>
      </c>
      <c r="K196">
        <f>ROUND(30*0.5/1000,7)</f>
        <v>1.4999999999999999E-2</v>
      </c>
      <c r="O196">
        <f t="shared" si="135"/>
        <v>14.73</v>
      </c>
      <c r="P196">
        <f t="shared" si="136"/>
        <v>0</v>
      </c>
      <c r="Q196">
        <f t="shared" si="137"/>
        <v>14.73</v>
      </c>
      <c r="R196">
        <f t="shared" si="138"/>
        <v>2.16</v>
      </c>
      <c r="S196">
        <f t="shared" si="139"/>
        <v>0</v>
      </c>
      <c r="T196">
        <f t="shared" si="140"/>
        <v>0</v>
      </c>
      <c r="U196">
        <f t="shared" si="141"/>
        <v>0</v>
      </c>
      <c r="V196">
        <f t="shared" si="142"/>
        <v>0.16373699999999999</v>
      </c>
      <c r="W196">
        <f t="shared" si="143"/>
        <v>0</v>
      </c>
      <c r="X196">
        <f t="shared" si="144"/>
        <v>1.92</v>
      </c>
      <c r="Y196">
        <f t="shared" si="145"/>
        <v>0.89</v>
      </c>
      <c r="AA196">
        <v>-1</v>
      </c>
      <c r="AB196">
        <f t="shared" si="146"/>
        <v>982.29</v>
      </c>
      <c r="AC196">
        <f t="shared" si="147"/>
        <v>0</v>
      </c>
      <c r="AD196">
        <f>ROUND(((((ET196*ROUND((1.2*1.15),7)))-((EU196*ROUND((1.2*1.15),7))))+AE196),2)</f>
        <v>982.29</v>
      </c>
      <c r="AE196">
        <f t="shared" si="174"/>
        <v>144.19999999999999</v>
      </c>
      <c r="AF196">
        <f t="shared" si="174"/>
        <v>0</v>
      </c>
      <c r="AG196">
        <f t="shared" si="148"/>
        <v>0</v>
      </c>
      <c r="AH196">
        <f t="shared" si="175"/>
        <v>0</v>
      </c>
      <c r="AI196">
        <f t="shared" si="175"/>
        <v>10.915799999999999</v>
      </c>
      <c r="AJ196">
        <f t="shared" si="149"/>
        <v>0</v>
      </c>
      <c r="AK196">
        <v>711.8</v>
      </c>
      <c r="AL196">
        <v>0</v>
      </c>
      <c r="AM196">
        <v>711.8</v>
      </c>
      <c r="AN196">
        <v>104.49</v>
      </c>
      <c r="AO196">
        <v>0</v>
      </c>
      <c r="AP196">
        <v>0</v>
      </c>
      <c r="AQ196">
        <v>0</v>
      </c>
      <c r="AR196">
        <v>7.91</v>
      </c>
      <c r="AS196">
        <v>0</v>
      </c>
      <c r="AT196">
        <v>89</v>
      </c>
      <c r="AU196">
        <v>41</v>
      </c>
      <c r="AV196">
        <v>1</v>
      </c>
      <c r="AW196">
        <v>1</v>
      </c>
      <c r="AZ196">
        <v>1</v>
      </c>
      <c r="BA196">
        <v>28.93</v>
      </c>
      <c r="BB196">
        <v>1</v>
      </c>
      <c r="BC196">
        <v>1</v>
      </c>
      <c r="BD196" t="s">
        <v>3</v>
      </c>
      <c r="BE196" t="s">
        <v>3</v>
      </c>
      <c r="BF196" t="s">
        <v>3</v>
      </c>
      <c r="BG196" t="s">
        <v>3</v>
      </c>
      <c r="BH196">
        <v>0</v>
      </c>
      <c r="BI196">
        <v>1</v>
      </c>
      <c r="BJ196" t="s">
        <v>286</v>
      </c>
      <c r="BM196">
        <v>1006</v>
      </c>
      <c r="BN196">
        <v>0</v>
      </c>
      <c r="BO196" t="s">
        <v>3</v>
      </c>
      <c r="BP196">
        <v>0</v>
      </c>
      <c r="BQ196">
        <v>2</v>
      </c>
      <c r="BR196">
        <v>0</v>
      </c>
      <c r="BS196">
        <v>28.93</v>
      </c>
      <c r="BT196">
        <v>1</v>
      </c>
      <c r="BU196">
        <v>1</v>
      </c>
      <c r="BV196">
        <v>1</v>
      </c>
      <c r="BW196">
        <v>1</v>
      </c>
      <c r="BX196">
        <v>1</v>
      </c>
      <c r="BY196" t="s">
        <v>3</v>
      </c>
      <c r="BZ196">
        <v>89</v>
      </c>
      <c r="CA196">
        <v>41</v>
      </c>
      <c r="CB196" t="s">
        <v>3</v>
      </c>
      <c r="CE196">
        <v>0</v>
      </c>
      <c r="CF196">
        <v>0</v>
      </c>
      <c r="CG196">
        <v>0</v>
      </c>
      <c r="CM196">
        <v>0</v>
      </c>
      <c r="CN196" t="s">
        <v>3</v>
      </c>
      <c r="CO196">
        <v>0</v>
      </c>
      <c r="CP196">
        <f t="shared" si="150"/>
        <v>14.73</v>
      </c>
      <c r="CQ196">
        <f t="shared" si="151"/>
        <v>0</v>
      </c>
      <c r="CR196">
        <f t="shared" si="152"/>
        <v>982.29</v>
      </c>
      <c r="CS196">
        <f t="shared" si="153"/>
        <v>144.19999999999999</v>
      </c>
      <c r="CT196">
        <f t="shared" si="154"/>
        <v>0</v>
      </c>
      <c r="CU196">
        <f t="shared" si="155"/>
        <v>0</v>
      </c>
      <c r="CV196">
        <f t="shared" si="156"/>
        <v>0</v>
      </c>
      <c r="CW196">
        <f t="shared" si="157"/>
        <v>10.915799999999999</v>
      </c>
      <c r="CX196">
        <f t="shared" si="158"/>
        <v>0</v>
      </c>
      <c r="CY196">
        <f t="shared" si="159"/>
        <v>1.9224000000000001</v>
      </c>
      <c r="CZ196">
        <f t="shared" si="160"/>
        <v>0.88560000000000005</v>
      </c>
      <c r="DC196" t="s">
        <v>3</v>
      </c>
      <c r="DD196" t="s">
        <v>3</v>
      </c>
      <c r="DE196" t="s">
        <v>20</v>
      </c>
      <c r="DF196" t="s">
        <v>20</v>
      </c>
      <c r="DG196" t="s">
        <v>20</v>
      </c>
      <c r="DH196" t="s">
        <v>3</v>
      </c>
      <c r="DI196" t="s">
        <v>20</v>
      </c>
      <c r="DJ196" t="s">
        <v>20</v>
      </c>
      <c r="DK196" t="s">
        <v>3</v>
      </c>
      <c r="DL196" t="s">
        <v>3</v>
      </c>
      <c r="DM196" t="s">
        <v>3</v>
      </c>
      <c r="DN196">
        <v>0</v>
      </c>
      <c r="DO196">
        <v>0</v>
      </c>
      <c r="DP196">
        <v>1</v>
      </c>
      <c r="DQ196">
        <v>1</v>
      </c>
      <c r="DU196">
        <v>1013</v>
      </c>
      <c r="DV196" t="s">
        <v>285</v>
      </c>
      <c r="DW196" t="s">
        <v>285</v>
      </c>
      <c r="DX196">
        <v>1</v>
      </c>
      <c r="DZ196" t="s">
        <v>3</v>
      </c>
      <c r="EA196" t="s">
        <v>3</v>
      </c>
      <c r="EB196" t="s">
        <v>3</v>
      </c>
      <c r="EC196" t="s">
        <v>3</v>
      </c>
      <c r="EE196">
        <v>41328266</v>
      </c>
      <c r="EF196">
        <v>2</v>
      </c>
      <c r="EG196" t="s">
        <v>21</v>
      </c>
      <c r="EH196">
        <v>1</v>
      </c>
      <c r="EI196" t="s">
        <v>14</v>
      </c>
      <c r="EJ196">
        <v>1</v>
      </c>
      <c r="EK196">
        <v>1006</v>
      </c>
      <c r="EL196" t="s">
        <v>279</v>
      </c>
      <c r="EM196" t="s">
        <v>23</v>
      </c>
      <c r="EO196" t="s">
        <v>3</v>
      </c>
      <c r="EQ196">
        <v>1024</v>
      </c>
      <c r="ER196">
        <v>711.8</v>
      </c>
      <c r="ES196">
        <v>0</v>
      </c>
      <c r="ET196">
        <v>711.8</v>
      </c>
      <c r="EU196">
        <v>104.49</v>
      </c>
      <c r="EV196">
        <v>0</v>
      </c>
      <c r="EW196">
        <v>0</v>
      </c>
      <c r="EX196">
        <v>7.91</v>
      </c>
      <c r="EY196">
        <v>0</v>
      </c>
      <c r="FQ196">
        <v>0</v>
      </c>
      <c r="FR196">
        <f t="shared" si="161"/>
        <v>0</v>
      </c>
      <c r="FS196">
        <v>0</v>
      </c>
      <c r="FX196">
        <v>89</v>
      </c>
      <c r="FY196">
        <v>41</v>
      </c>
      <c r="GA196" t="s">
        <v>3</v>
      </c>
      <c r="GD196">
        <v>1</v>
      </c>
      <c r="GF196">
        <v>222932778</v>
      </c>
      <c r="GG196">
        <v>2</v>
      </c>
      <c r="GH196">
        <v>1</v>
      </c>
      <c r="GI196">
        <v>4</v>
      </c>
      <c r="GJ196">
        <v>0</v>
      </c>
      <c r="GK196">
        <v>0</v>
      </c>
      <c r="GL196">
        <f t="shared" si="162"/>
        <v>0</v>
      </c>
      <c r="GM196">
        <f t="shared" si="163"/>
        <v>17.54</v>
      </c>
      <c r="GN196">
        <f t="shared" si="164"/>
        <v>17.54</v>
      </c>
      <c r="GO196">
        <f t="shared" si="165"/>
        <v>0</v>
      </c>
      <c r="GP196">
        <f t="shared" si="166"/>
        <v>0</v>
      </c>
      <c r="GR196">
        <v>0</v>
      </c>
      <c r="GS196">
        <v>3</v>
      </c>
      <c r="GT196">
        <v>0</v>
      </c>
      <c r="GU196" t="s">
        <v>3</v>
      </c>
      <c r="GV196">
        <f t="shared" si="167"/>
        <v>0</v>
      </c>
      <c r="GW196">
        <v>1</v>
      </c>
      <c r="GX196">
        <f t="shared" si="168"/>
        <v>0</v>
      </c>
      <c r="HA196">
        <v>0</v>
      </c>
      <c r="HB196">
        <v>0</v>
      </c>
      <c r="HC196">
        <f t="shared" si="169"/>
        <v>0</v>
      </c>
      <c r="HE196" t="s">
        <v>3</v>
      </c>
      <c r="HF196" t="s">
        <v>3</v>
      </c>
      <c r="HI196">
        <f t="shared" si="170"/>
        <v>62.49</v>
      </c>
      <c r="HJ196">
        <f t="shared" si="171"/>
        <v>0</v>
      </c>
      <c r="HK196">
        <f t="shared" si="172"/>
        <v>55.62</v>
      </c>
      <c r="HL196">
        <f t="shared" si="173"/>
        <v>25.62</v>
      </c>
      <c r="HM196" t="s">
        <v>3</v>
      </c>
      <c r="HN196" t="s">
        <v>280</v>
      </c>
      <c r="HO196" t="s">
        <v>281</v>
      </c>
      <c r="HP196" t="s">
        <v>282</v>
      </c>
      <c r="HQ196" t="s">
        <v>282</v>
      </c>
      <c r="IK196">
        <v>0</v>
      </c>
    </row>
    <row r="197" spans="1:245">
      <c r="A197">
        <v>17</v>
      </c>
      <c r="B197">
        <v>1</v>
      </c>
      <c r="C197">
        <f>ROW(SmtRes!A182)</f>
        <v>182</v>
      </c>
      <c r="D197">
        <f>ROW(EtalonRes!A187)</f>
        <v>187</v>
      </c>
      <c r="E197" t="s">
        <v>3</v>
      </c>
      <c r="F197" t="s">
        <v>287</v>
      </c>
      <c r="G197" t="s">
        <v>288</v>
      </c>
      <c r="H197" t="s">
        <v>285</v>
      </c>
      <c r="I197">
        <f>ROUND(15/1000,7)</f>
        <v>1.4999999999999999E-2</v>
      </c>
      <c r="J197">
        <v>0</v>
      </c>
      <c r="K197">
        <f>ROUND(15/1000,7)</f>
        <v>1.4999999999999999E-2</v>
      </c>
      <c r="O197">
        <f t="shared" si="135"/>
        <v>2.42</v>
      </c>
      <c r="P197">
        <f t="shared" si="136"/>
        <v>0</v>
      </c>
      <c r="Q197">
        <f t="shared" si="137"/>
        <v>2.42</v>
      </c>
      <c r="R197">
        <f t="shared" si="138"/>
        <v>0.25</v>
      </c>
      <c r="S197">
        <f t="shared" si="139"/>
        <v>0</v>
      </c>
      <c r="T197">
        <f t="shared" si="140"/>
        <v>0</v>
      </c>
      <c r="U197">
        <f t="shared" si="141"/>
        <v>0</v>
      </c>
      <c r="V197">
        <f t="shared" si="142"/>
        <v>1.7594999999999996E-2</v>
      </c>
      <c r="W197">
        <f t="shared" si="143"/>
        <v>0</v>
      </c>
      <c r="X197">
        <f t="shared" si="144"/>
        <v>0.22</v>
      </c>
      <c r="Y197">
        <f t="shared" si="145"/>
        <v>0.1</v>
      </c>
      <c r="AA197">
        <v>-1</v>
      </c>
      <c r="AB197">
        <f t="shared" si="146"/>
        <v>161.26</v>
      </c>
      <c r="AC197">
        <f t="shared" si="147"/>
        <v>0</v>
      </c>
      <c r="AD197">
        <f>ROUND(((((ET197*ROUND((1.2*1.15),7)))-((EU197*ROUND((1.2*1.15),7))))+AE197),2)</f>
        <v>161.26</v>
      </c>
      <c r="AE197">
        <f t="shared" si="174"/>
        <v>16.420000000000002</v>
      </c>
      <c r="AF197">
        <f t="shared" si="174"/>
        <v>0</v>
      </c>
      <c r="AG197">
        <f t="shared" si="148"/>
        <v>0</v>
      </c>
      <c r="AH197">
        <f t="shared" si="175"/>
        <v>0</v>
      </c>
      <c r="AI197">
        <f t="shared" si="175"/>
        <v>1.1729999999999998</v>
      </c>
      <c r="AJ197">
        <f t="shared" si="149"/>
        <v>0</v>
      </c>
      <c r="AK197">
        <v>116.86</v>
      </c>
      <c r="AL197">
        <v>0</v>
      </c>
      <c r="AM197">
        <v>116.86</v>
      </c>
      <c r="AN197">
        <v>11.9</v>
      </c>
      <c r="AO197">
        <v>0</v>
      </c>
      <c r="AP197">
        <v>0</v>
      </c>
      <c r="AQ197">
        <v>0</v>
      </c>
      <c r="AR197">
        <v>0.85</v>
      </c>
      <c r="AS197">
        <v>0</v>
      </c>
      <c r="AT197">
        <v>89</v>
      </c>
      <c r="AU197">
        <v>41</v>
      </c>
      <c r="AV197">
        <v>1</v>
      </c>
      <c r="AW197">
        <v>1</v>
      </c>
      <c r="AZ197">
        <v>1</v>
      </c>
      <c r="BA197">
        <v>28.93</v>
      </c>
      <c r="BB197">
        <v>1</v>
      </c>
      <c r="BC197">
        <v>1</v>
      </c>
      <c r="BD197" t="s">
        <v>3</v>
      </c>
      <c r="BE197" t="s">
        <v>3</v>
      </c>
      <c r="BF197" t="s">
        <v>3</v>
      </c>
      <c r="BG197" t="s">
        <v>3</v>
      </c>
      <c r="BH197">
        <v>0</v>
      </c>
      <c r="BI197">
        <v>1</v>
      </c>
      <c r="BJ197" t="s">
        <v>289</v>
      </c>
      <c r="BM197">
        <v>1006</v>
      </c>
      <c r="BN197">
        <v>0</v>
      </c>
      <c r="BO197" t="s">
        <v>3</v>
      </c>
      <c r="BP197">
        <v>0</v>
      </c>
      <c r="BQ197">
        <v>2</v>
      </c>
      <c r="BR197">
        <v>0</v>
      </c>
      <c r="BS197">
        <v>28.93</v>
      </c>
      <c r="BT197">
        <v>1</v>
      </c>
      <c r="BU197">
        <v>1</v>
      </c>
      <c r="BV197">
        <v>1</v>
      </c>
      <c r="BW197">
        <v>1</v>
      </c>
      <c r="BX197">
        <v>1</v>
      </c>
      <c r="BY197" t="s">
        <v>3</v>
      </c>
      <c r="BZ197">
        <v>89</v>
      </c>
      <c r="CA197">
        <v>41</v>
      </c>
      <c r="CB197" t="s">
        <v>3</v>
      </c>
      <c r="CE197">
        <v>0</v>
      </c>
      <c r="CF197">
        <v>0</v>
      </c>
      <c r="CG197">
        <v>0</v>
      </c>
      <c r="CM197">
        <v>0</v>
      </c>
      <c r="CN197" t="s">
        <v>3</v>
      </c>
      <c r="CO197">
        <v>0</v>
      </c>
      <c r="CP197">
        <f t="shared" si="150"/>
        <v>2.42</v>
      </c>
      <c r="CQ197">
        <f t="shared" si="151"/>
        <v>0</v>
      </c>
      <c r="CR197">
        <f t="shared" si="152"/>
        <v>161.26</v>
      </c>
      <c r="CS197">
        <f t="shared" si="153"/>
        <v>16.420000000000002</v>
      </c>
      <c r="CT197">
        <f t="shared" si="154"/>
        <v>0</v>
      </c>
      <c r="CU197">
        <f t="shared" si="155"/>
        <v>0</v>
      </c>
      <c r="CV197">
        <f t="shared" si="156"/>
        <v>0</v>
      </c>
      <c r="CW197">
        <f t="shared" si="157"/>
        <v>1.1729999999999998</v>
      </c>
      <c r="CX197">
        <f t="shared" si="158"/>
        <v>0</v>
      </c>
      <c r="CY197">
        <f t="shared" si="159"/>
        <v>0.2225</v>
      </c>
      <c r="CZ197">
        <f t="shared" si="160"/>
        <v>0.10249999999999999</v>
      </c>
      <c r="DC197" t="s">
        <v>3</v>
      </c>
      <c r="DD197" t="s">
        <v>3</v>
      </c>
      <c r="DE197" t="s">
        <v>20</v>
      </c>
      <c r="DF197" t="s">
        <v>20</v>
      </c>
      <c r="DG197" t="s">
        <v>20</v>
      </c>
      <c r="DH197" t="s">
        <v>3</v>
      </c>
      <c r="DI197" t="s">
        <v>20</v>
      </c>
      <c r="DJ197" t="s">
        <v>20</v>
      </c>
      <c r="DK197" t="s">
        <v>3</v>
      </c>
      <c r="DL197" t="s">
        <v>3</v>
      </c>
      <c r="DM197" t="s">
        <v>3</v>
      </c>
      <c r="DN197">
        <v>0</v>
      </c>
      <c r="DO197">
        <v>0</v>
      </c>
      <c r="DP197">
        <v>1</v>
      </c>
      <c r="DQ197">
        <v>1</v>
      </c>
      <c r="DU197">
        <v>1013</v>
      </c>
      <c r="DV197" t="s">
        <v>285</v>
      </c>
      <c r="DW197" t="s">
        <v>285</v>
      </c>
      <c r="DX197">
        <v>1</v>
      </c>
      <c r="DZ197" t="s">
        <v>3</v>
      </c>
      <c r="EA197" t="s">
        <v>3</v>
      </c>
      <c r="EB197" t="s">
        <v>3</v>
      </c>
      <c r="EC197" t="s">
        <v>3</v>
      </c>
      <c r="EE197">
        <v>41328266</v>
      </c>
      <c r="EF197">
        <v>2</v>
      </c>
      <c r="EG197" t="s">
        <v>21</v>
      </c>
      <c r="EH197">
        <v>1</v>
      </c>
      <c r="EI197" t="s">
        <v>14</v>
      </c>
      <c r="EJ197">
        <v>1</v>
      </c>
      <c r="EK197">
        <v>1006</v>
      </c>
      <c r="EL197" t="s">
        <v>279</v>
      </c>
      <c r="EM197" t="s">
        <v>23</v>
      </c>
      <c r="EO197" t="s">
        <v>3</v>
      </c>
      <c r="EQ197">
        <v>1024</v>
      </c>
      <c r="ER197">
        <v>116.86</v>
      </c>
      <c r="ES197">
        <v>0</v>
      </c>
      <c r="ET197">
        <v>116.86</v>
      </c>
      <c r="EU197">
        <v>11.9</v>
      </c>
      <c r="EV197">
        <v>0</v>
      </c>
      <c r="EW197">
        <v>0</v>
      </c>
      <c r="EX197">
        <v>0.85</v>
      </c>
      <c r="EY197">
        <v>0</v>
      </c>
      <c r="FQ197">
        <v>0</v>
      </c>
      <c r="FR197">
        <f t="shared" si="161"/>
        <v>0</v>
      </c>
      <c r="FS197">
        <v>0</v>
      </c>
      <c r="FX197">
        <v>89</v>
      </c>
      <c r="FY197">
        <v>41</v>
      </c>
      <c r="GA197" t="s">
        <v>3</v>
      </c>
      <c r="GD197">
        <v>1</v>
      </c>
      <c r="GF197">
        <v>-1055952069</v>
      </c>
      <c r="GG197">
        <v>2</v>
      </c>
      <c r="GH197">
        <v>1</v>
      </c>
      <c r="GI197">
        <v>4</v>
      </c>
      <c r="GJ197">
        <v>0</v>
      </c>
      <c r="GK197">
        <v>0</v>
      </c>
      <c r="GL197">
        <f t="shared" si="162"/>
        <v>0</v>
      </c>
      <c r="GM197">
        <f t="shared" si="163"/>
        <v>2.74</v>
      </c>
      <c r="GN197">
        <f t="shared" si="164"/>
        <v>2.74</v>
      </c>
      <c r="GO197">
        <f t="shared" si="165"/>
        <v>0</v>
      </c>
      <c r="GP197">
        <f t="shared" si="166"/>
        <v>0</v>
      </c>
      <c r="GR197">
        <v>0</v>
      </c>
      <c r="GS197">
        <v>3</v>
      </c>
      <c r="GT197">
        <v>0</v>
      </c>
      <c r="GU197" t="s">
        <v>3</v>
      </c>
      <c r="GV197">
        <f t="shared" si="167"/>
        <v>0</v>
      </c>
      <c r="GW197">
        <v>1</v>
      </c>
      <c r="GX197">
        <f t="shared" si="168"/>
        <v>0</v>
      </c>
      <c r="HA197">
        <v>0</v>
      </c>
      <c r="HB197">
        <v>0</v>
      </c>
      <c r="HC197">
        <f t="shared" si="169"/>
        <v>0</v>
      </c>
      <c r="HE197" t="s">
        <v>3</v>
      </c>
      <c r="HF197" t="s">
        <v>3</v>
      </c>
      <c r="HI197">
        <f t="shared" si="170"/>
        <v>7.23</v>
      </c>
      <c r="HJ197">
        <f t="shared" si="171"/>
        <v>0</v>
      </c>
      <c r="HK197">
        <f t="shared" si="172"/>
        <v>6.43</v>
      </c>
      <c r="HL197">
        <f t="shared" si="173"/>
        <v>2.96</v>
      </c>
      <c r="HM197" t="s">
        <v>3</v>
      </c>
      <c r="HN197" t="s">
        <v>280</v>
      </c>
      <c r="HO197" t="s">
        <v>281</v>
      </c>
      <c r="HP197" t="s">
        <v>282</v>
      </c>
      <c r="HQ197" t="s">
        <v>282</v>
      </c>
      <c r="IK197">
        <v>0</v>
      </c>
    </row>
    <row r="198" spans="1:245">
      <c r="A198">
        <v>17</v>
      </c>
      <c r="B198">
        <v>1</v>
      </c>
      <c r="C198">
        <f>ROW(SmtRes!A194)</f>
        <v>194</v>
      </c>
      <c r="D198">
        <f>ROW(EtalonRes!A199)</f>
        <v>199</v>
      </c>
      <c r="E198" t="s">
        <v>290</v>
      </c>
      <c r="F198" t="s">
        <v>291</v>
      </c>
      <c r="G198" t="s">
        <v>292</v>
      </c>
      <c r="H198" t="s">
        <v>293</v>
      </c>
      <c r="I198">
        <f>ROUND(34.5/1000,7)</f>
        <v>3.4500000000000003E-2</v>
      </c>
      <c r="J198">
        <v>0</v>
      </c>
      <c r="K198">
        <f>ROUND(34.5/1000,7)</f>
        <v>3.4500000000000003E-2</v>
      </c>
      <c r="O198">
        <f t="shared" si="135"/>
        <v>1690.54</v>
      </c>
      <c r="P198">
        <f t="shared" si="136"/>
        <v>1469.72</v>
      </c>
      <c r="Q198">
        <f t="shared" si="137"/>
        <v>206.85</v>
      </c>
      <c r="R198">
        <f t="shared" si="138"/>
        <v>21.81</v>
      </c>
      <c r="S198">
        <f t="shared" si="139"/>
        <v>13.97</v>
      </c>
      <c r="T198">
        <f t="shared" si="140"/>
        <v>0</v>
      </c>
      <c r="U198">
        <f t="shared" si="141"/>
        <v>1.7596655999999999</v>
      </c>
      <c r="V198">
        <f t="shared" si="142"/>
        <v>1.7253864000000003</v>
      </c>
      <c r="W198">
        <f t="shared" si="143"/>
        <v>0</v>
      </c>
      <c r="X198">
        <f t="shared" si="144"/>
        <v>52.6</v>
      </c>
      <c r="Y198">
        <f t="shared" si="145"/>
        <v>33.99</v>
      </c>
      <c r="AA198">
        <v>47920234</v>
      </c>
      <c r="AB198">
        <f t="shared" si="146"/>
        <v>49000.93</v>
      </c>
      <c r="AC198">
        <f t="shared" si="147"/>
        <v>42600.45</v>
      </c>
      <c r="AD198">
        <f>ROUND(((((ET198*ROUND((1.2*1.15),7)))-((EU198*ROUND((1.2*1.15),7))))+AE198),2)</f>
        <v>5995.51</v>
      </c>
      <c r="AE198">
        <f t="shared" si="174"/>
        <v>632.14</v>
      </c>
      <c r="AF198">
        <f t="shared" si="174"/>
        <v>404.97</v>
      </c>
      <c r="AG198">
        <f t="shared" si="148"/>
        <v>0</v>
      </c>
      <c r="AH198">
        <f t="shared" si="175"/>
        <v>51.004799999999996</v>
      </c>
      <c r="AI198">
        <f t="shared" si="175"/>
        <v>50.011200000000002</v>
      </c>
      <c r="AJ198">
        <f t="shared" si="149"/>
        <v>0</v>
      </c>
      <c r="AK198">
        <v>47238.48</v>
      </c>
      <c r="AL198">
        <v>42600.45</v>
      </c>
      <c r="AM198">
        <v>4344.57</v>
      </c>
      <c r="AN198">
        <v>458.07</v>
      </c>
      <c r="AO198">
        <v>293.45999999999998</v>
      </c>
      <c r="AP198">
        <v>0</v>
      </c>
      <c r="AQ198">
        <v>36.96</v>
      </c>
      <c r="AR198">
        <v>36.24</v>
      </c>
      <c r="AS198">
        <v>0</v>
      </c>
      <c r="AT198">
        <v>147</v>
      </c>
      <c r="AU198">
        <v>95</v>
      </c>
      <c r="AV198">
        <v>1</v>
      </c>
      <c r="AW198">
        <v>1</v>
      </c>
      <c r="AZ198">
        <v>1</v>
      </c>
      <c r="BA198">
        <v>28.93</v>
      </c>
      <c r="BB198">
        <v>1</v>
      </c>
      <c r="BC198">
        <v>1</v>
      </c>
      <c r="BD198" t="s">
        <v>3</v>
      </c>
      <c r="BE198" t="s">
        <v>3</v>
      </c>
      <c r="BF198" t="s">
        <v>3</v>
      </c>
      <c r="BG198" t="s">
        <v>3</v>
      </c>
      <c r="BH198">
        <v>0</v>
      </c>
      <c r="BI198">
        <v>1</v>
      </c>
      <c r="BJ198" t="s">
        <v>294</v>
      </c>
      <c r="BM198">
        <v>27001</v>
      </c>
      <c r="BN198">
        <v>0</v>
      </c>
      <c r="BO198" t="s">
        <v>3</v>
      </c>
      <c r="BP198">
        <v>0</v>
      </c>
      <c r="BQ198">
        <v>2</v>
      </c>
      <c r="BR198">
        <v>0</v>
      </c>
      <c r="BS198">
        <v>28.93</v>
      </c>
      <c r="BT198">
        <v>1</v>
      </c>
      <c r="BU198">
        <v>1</v>
      </c>
      <c r="BV198">
        <v>1</v>
      </c>
      <c r="BW198">
        <v>1</v>
      </c>
      <c r="BX198">
        <v>1</v>
      </c>
      <c r="BY198" t="s">
        <v>3</v>
      </c>
      <c r="BZ198">
        <v>147</v>
      </c>
      <c r="CA198">
        <v>95</v>
      </c>
      <c r="CB198" t="s">
        <v>3</v>
      </c>
      <c r="CE198">
        <v>0</v>
      </c>
      <c r="CF198">
        <v>0</v>
      </c>
      <c r="CG198">
        <v>0</v>
      </c>
      <c r="CM198">
        <v>0</v>
      </c>
      <c r="CN198" t="s">
        <v>3</v>
      </c>
      <c r="CO198">
        <v>0</v>
      </c>
      <c r="CP198">
        <f t="shared" si="150"/>
        <v>1690.54</v>
      </c>
      <c r="CQ198">
        <f t="shared" si="151"/>
        <v>42600.45</v>
      </c>
      <c r="CR198">
        <f t="shared" si="152"/>
        <v>5995.51</v>
      </c>
      <c r="CS198">
        <f t="shared" si="153"/>
        <v>632.14</v>
      </c>
      <c r="CT198">
        <f t="shared" si="154"/>
        <v>404.97</v>
      </c>
      <c r="CU198">
        <f t="shared" si="155"/>
        <v>0</v>
      </c>
      <c r="CV198">
        <f t="shared" si="156"/>
        <v>51.004799999999996</v>
      </c>
      <c r="CW198">
        <f t="shared" si="157"/>
        <v>50.011200000000002</v>
      </c>
      <c r="CX198">
        <f t="shared" si="158"/>
        <v>0</v>
      </c>
      <c r="CY198">
        <f t="shared" si="159"/>
        <v>52.596599999999995</v>
      </c>
      <c r="CZ198">
        <f t="shared" si="160"/>
        <v>33.991</v>
      </c>
      <c r="DC198" t="s">
        <v>3</v>
      </c>
      <c r="DD198" t="s">
        <v>3</v>
      </c>
      <c r="DE198" t="s">
        <v>20</v>
      </c>
      <c r="DF198" t="s">
        <v>20</v>
      </c>
      <c r="DG198" t="s">
        <v>20</v>
      </c>
      <c r="DH198" t="s">
        <v>3</v>
      </c>
      <c r="DI198" t="s">
        <v>20</v>
      </c>
      <c r="DJ198" t="s">
        <v>20</v>
      </c>
      <c r="DK198" t="s">
        <v>3</v>
      </c>
      <c r="DL198" t="s">
        <v>3</v>
      </c>
      <c r="DM198" t="s">
        <v>3</v>
      </c>
      <c r="DN198">
        <v>0</v>
      </c>
      <c r="DO198">
        <v>0</v>
      </c>
      <c r="DP198">
        <v>1</v>
      </c>
      <c r="DQ198">
        <v>1</v>
      </c>
      <c r="DU198">
        <v>1013</v>
      </c>
      <c r="DV198" t="s">
        <v>293</v>
      </c>
      <c r="DW198" t="s">
        <v>293</v>
      </c>
      <c r="DX198">
        <v>1</v>
      </c>
      <c r="DZ198" t="s">
        <v>3</v>
      </c>
      <c r="EA198" t="s">
        <v>3</v>
      </c>
      <c r="EB198" t="s">
        <v>3</v>
      </c>
      <c r="EC198" t="s">
        <v>3</v>
      </c>
      <c r="EE198">
        <v>41328329</v>
      </c>
      <c r="EF198">
        <v>2</v>
      </c>
      <c r="EG198" t="s">
        <v>21</v>
      </c>
      <c r="EH198">
        <v>21</v>
      </c>
      <c r="EI198" t="s">
        <v>253</v>
      </c>
      <c r="EJ198">
        <v>1</v>
      </c>
      <c r="EK198">
        <v>27001</v>
      </c>
      <c r="EL198" t="s">
        <v>253</v>
      </c>
      <c r="EM198" t="s">
        <v>255</v>
      </c>
      <c r="EO198" t="s">
        <v>3</v>
      </c>
      <c r="EQ198">
        <v>0</v>
      </c>
      <c r="ER198">
        <v>47238.48</v>
      </c>
      <c r="ES198">
        <v>42600.45</v>
      </c>
      <c r="ET198">
        <v>4344.57</v>
      </c>
      <c r="EU198">
        <v>458.07</v>
      </c>
      <c r="EV198">
        <v>293.45999999999998</v>
      </c>
      <c r="EW198">
        <v>36.96</v>
      </c>
      <c r="EX198">
        <v>36.24</v>
      </c>
      <c r="EY198">
        <v>0</v>
      </c>
      <c r="FQ198">
        <v>0</v>
      </c>
      <c r="FR198">
        <f t="shared" si="161"/>
        <v>0</v>
      </c>
      <c r="FS198">
        <v>0</v>
      </c>
      <c r="FX198">
        <v>147</v>
      </c>
      <c r="FY198">
        <v>95</v>
      </c>
      <c r="GA198" t="s">
        <v>3</v>
      </c>
      <c r="GD198">
        <v>1</v>
      </c>
      <c r="GF198">
        <v>2034820425</v>
      </c>
      <c r="GG198">
        <v>2</v>
      </c>
      <c r="GH198">
        <v>1</v>
      </c>
      <c r="GI198">
        <v>4</v>
      </c>
      <c r="GJ198">
        <v>0</v>
      </c>
      <c r="GK198">
        <v>0</v>
      </c>
      <c r="GL198">
        <f t="shared" si="162"/>
        <v>0</v>
      </c>
      <c r="GM198">
        <f t="shared" si="163"/>
        <v>1777.13</v>
      </c>
      <c r="GN198">
        <f t="shared" si="164"/>
        <v>1777.13</v>
      </c>
      <c r="GO198">
        <f t="shared" si="165"/>
        <v>0</v>
      </c>
      <c r="GP198">
        <f t="shared" si="166"/>
        <v>0</v>
      </c>
      <c r="GR198">
        <v>0</v>
      </c>
      <c r="GS198">
        <v>3</v>
      </c>
      <c r="GT198">
        <v>0</v>
      </c>
      <c r="GU198" t="s">
        <v>3</v>
      </c>
      <c r="GV198">
        <f t="shared" si="167"/>
        <v>0</v>
      </c>
      <c r="GW198">
        <v>1</v>
      </c>
      <c r="GX198">
        <f t="shared" si="168"/>
        <v>0</v>
      </c>
      <c r="HA198">
        <v>0</v>
      </c>
      <c r="HB198">
        <v>0</v>
      </c>
      <c r="HC198">
        <f t="shared" si="169"/>
        <v>0</v>
      </c>
      <c r="HE198" t="s">
        <v>3</v>
      </c>
      <c r="HF198" t="s">
        <v>3</v>
      </c>
      <c r="HI198">
        <f t="shared" si="170"/>
        <v>630.96</v>
      </c>
      <c r="HJ198">
        <f t="shared" si="171"/>
        <v>404.15</v>
      </c>
      <c r="HK198">
        <f t="shared" si="172"/>
        <v>1521.61</v>
      </c>
      <c r="HL198">
        <f t="shared" si="173"/>
        <v>983.35</v>
      </c>
      <c r="HM198" t="s">
        <v>3</v>
      </c>
      <c r="HN198" t="s">
        <v>256</v>
      </c>
      <c r="HO198" t="s">
        <v>257</v>
      </c>
      <c r="HP198" t="s">
        <v>253</v>
      </c>
      <c r="HQ198" t="s">
        <v>253</v>
      </c>
      <c r="IK198">
        <v>0</v>
      </c>
    </row>
    <row r="199" spans="1:245">
      <c r="A199">
        <v>18</v>
      </c>
      <c r="B199">
        <v>1</v>
      </c>
      <c r="C199">
        <v>193</v>
      </c>
      <c r="E199" t="s">
        <v>295</v>
      </c>
      <c r="F199" t="s">
        <v>296</v>
      </c>
      <c r="G199" t="s">
        <v>297</v>
      </c>
      <c r="H199" t="s">
        <v>298</v>
      </c>
      <c r="I199">
        <f>I198*J199</f>
        <v>-6.5205000000000002</v>
      </c>
      <c r="J199">
        <v>-189</v>
      </c>
      <c r="K199">
        <v>-189</v>
      </c>
      <c r="O199">
        <f t="shared" si="135"/>
        <v>-1301.49</v>
      </c>
      <c r="P199">
        <f t="shared" si="136"/>
        <v>-1301.49</v>
      </c>
      <c r="Q199">
        <f t="shared" si="137"/>
        <v>0</v>
      </c>
      <c r="R199">
        <f t="shared" si="138"/>
        <v>0</v>
      </c>
      <c r="S199">
        <f t="shared" si="139"/>
        <v>0</v>
      </c>
      <c r="T199">
        <f t="shared" si="140"/>
        <v>0</v>
      </c>
      <c r="U199">
        <f t="shared" si="141"/>
        <v>0</v>
      </c>
      <c r="V199">
        <f t="shared" si="142"/>
        <v>0</v>
      </c>
      <c r="W199">
        <f t="shared" si="143"/>
        <v>0</v>
      </c>
      <c r="X199">
        <f t="shared" si="144"/>
        <v>0</v>
      </c>
      <c r="Y199">
        <f t="shared" si="145"/>
        <v>0</v>
      </c>
      <c r="AA199">
        <v>47920234</v>
      </c>
      <c r="AB199">
        <f t="shared" si="146"/>
        <v>199.6</v>
      </c>
      <c r="AC199">
        <f t="shared" si="147"/>
        <v>199.6</v>
      </c>
      <c r="AD199">
        <f>ROUND((((ET199)-(EU199))+AE199),2)</f>
        <v>0</v>
      </c>
      <c r="AE199">
        <f>ROUND((EU199),2)</f>
        <v>0</v>
      </c>
      <c r="AF199">
        <f>ROUND((EV199),2)</f>
        <v>0</v>
      </c>
      <c r="AG199">
        <f t="shared" si="148"/>
        <v>0</v>
      </c>
      <c r="AH199">
        <f>(EW199)</f>
        <v>0</v>
      </c>
      <c r="AI199">
        <f>(EX199)</f>
        <v>0</v>
      </c>
      <c r="AJ199">
        <f t="shared" si="149"/>
        <v>0</v>
      </c>
      <c r="AK199">
        <v>199.6</v>
      </c>
      <c r="AL199">
        <v>199.6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1</v>
      </c>
      <c r="AW199">
        <v>1</v>
      </c>
      <c r="AZ199">
        <v>1</v>
      </c>
      <c r="BA199">
        <v>1</v>
      </c>
      <c r="BB199">
        <v>1</v>
      </c>
      <c r="BC199">
        <v>1</v>
      </c>
      <c r="BD199" t="s">
        <v>3</v>
      </c>
      <c r="BE199" t="s">
        <v>3</v>
      </c>
      <c r="BF199" t="s">
        <v>3</v>
      </c>
      <c r="BG199" t="s">
        <v>3</v>
      </c>
      <c r="BH199">
        <v>3</v>
      </c>
      <c r="BI199">
        <v>1</v>
      </c>
      <c r="BJ199" t="s">
        <v>299</v>
      </c>
      <c r="BM199">
        <v>500001</v>
      </c>
      <c r="BN199">
        <v>0</v>
      </c>
      <c r="BO199" t="s">
        <v>3</v>
      </c>
      <c r="BP199">
        <v>0</v>
      </c>
      <c r="BQ199">
        <v>8</v>
      </c>
      <c r="BR199">
        <v>1</v>
      </c>
      <c r="BS199">
        <v>1</v>
      </c>
      <c r="BT199">
        <v>1</v>
      </c>
      <c r="BU199">
        <v>1</v>
      </c>
      <c r="BV199">
        <v>1</v>
      </c>
      <c r="BW199">
        <v>1</v>
      </c>
      <c r="BX199">
        <v>1</v>
      </c>
      <c r="BY199" t="s">
        <v>3</v>
      </c>
      <c r="BZ199">
        <v>0</v>
      </c>
      <c r="CA199">
        <v>0</v>
      </c>
      <c r="CB199" t="s">
        <v>3</v>
      </c>
      <c r="CE199">
        <v>0</v>
      </c>
      <c r="CF199">
        <v>0</v>
      </c>
      <c r="CG199">
        <v>0</v>
      </c>
      <c r="CM199">
        <v>0</v>
      </c>
      <c r="CN199" t="s">
        <v>3</v>
      </c>
      <c r="CO199">
        <v>0</v>
      </c>
      <c r="CP199">
        <f t="shared" si="150"/>
        <v>-1301.49</v>
      </c>
      <c r="CQ199">
        <f t="shared" si="151"/>
        <v>199.6</v>
      </c>
      <c r="CR199">
        <f t="shared" si="152"/>
        <v>0</v>
      </c>
      <c r="CS199">
        <f t="shared" si="153"/>
        <v>0</v>
      </c>
      <c r="CT199">
        <f t="shared" si="154"/>
        <v>0</v>
      </c>
      <c r="CU199">
        <f t="shared" si="155"/>
        <v>0</v>
      </c>
      <c r="CV199">
        <f t="shared" si="156"/>
        <v>0</v>
      </c>
      <c r="CW199">
        <f t="shared" si="157"/>
        <v>0</v>
      </c>
      <c r="CX199">
        <f t="shared" si="158"/>
        <v>0</v>
      </c>
      <c r="CY199">
        <f t="shared" si="159"/>
        <v>0</v>
      </c>
      <c r="CZ199">
        <f t="shared" si="160"/>
        <v>0</v>
      </c>
      <c r="DC199" t="s">
        <v>3</v>
      </c>
      <c r="DD199" t="s">
        <v>3</v>
      </c>
      <c r="DE199" t="s">
        <v>3</v>
      </c>
      <c r="DF199" t="s">
        <v>3</v>
      </c>
      <c r="DG199" t="s">
        <v>3</v>
      </c>
      <c r="DH199" t="s">
        <v>3</v>
      </c>
      <c r="DI199" t="s">
        <v>3</v>
      </c>
      <c r="DJ199" t="s">
        <v>3</v>
      </c>
      <c r="DK199" t="s">
        <v>3</v>
      </c>
      <c r="DL199" t="s">
        <v>3</v>
      </c>
      <c r="DM199" t="s">
        <v>3</v>
      </c>
      <c r="DN199">
        <v>0</v>
      </c>
      <c r="DO199">
        <v>0</v>
      </c>
      <c r="DP199">
        <v>1</v>
      </c>
      <c r="DQ199">
        <v>1</v>
      </c>
      <c r="DU199">
        <v>1007</v>
      </c>
      <c r="DV199" t="s">
        <v>298</v>
      </c>
      <c r="DW199" t="s">
        <v>298</v>
      </c>
      <c r="DX199">
        <v>1</v>
      </c>
      <c r="DZ199" t="s">
        <v>3</v>
      </c>
      <c r="EA199" t="s">
        <v>3</v>
      </c>
      <c r="EB199" t="s">
        <v>3</v>
      </c>
      <c r="EC199" t="s">
        <v>3</v>
      </c>
      <c r="EE199">
        <v>41328221</v>
      </c>
      <c r="EF199">
        <v>8</v>
      </c>
      <c r="EG199" t="s">
        <v>300</v>
      </c>
      <c r="EH199">
        <v>0</v>
      </c>
      <c r="EI199" t="s">
        <v>3</v>
      </c>
      <c r="EJ199">
        <v>1</v>
      </c>
      <c r="EK199">
        <v>500001</v>
      </c>
      <c r="EL199" t="s">
        <v>301</v>
      </c>
      <c r="EM199" t="s">
        <v>302</v>
      </c>
      <c r="EO199" t="s">
        <v>3</v>
      </c>
      <c r="EQ199">
        <v>32768</v>
      </c>
      <c r="ER199">
        <v>199.6</v>
      </c>
      <c r="ES199">
        <v>199.6</v>
      </c>
      <c r="ET199">
        <v>0</v>
      </c>
      <c r="EU199">
        <v>0</v>
      </c>
      <c r="EV199">
        <v>0</v>
      </c>
      <c r="EW199">
        <v>0</v>
      </c>
      <c r="EX199">
        <v>0</v>
      </c>
      <c r="FQ199">
        <v>0</v>
      </c>
      <c r="FR199">
        <f t="shared" si="161"/>
        <v>0</v>
      </c>
      <c r="FS199">
        <v>0</v>
      </c>
      <c r="FX199">
        <v>0</v>
      </c>
      <c r="FY199">
        <v>0</v>
      </c>
      <c r="GA199" t="s">
        <v>3</v>
      </c>
      <c r="GD199">
        <v>1</v>
      </c>
      <c r="GF199">
        <v>-565367017</v>
      </c>
      <c r="GG199">
        <v>2</v>
      </c>
      <c r="GH199">
        <v>1</v>
      </c>
      <c r="GI199">
        <v>4</v>
      </c>
      <c r="GJ199">
        <v>0</v>
      </c>
      <c r="GK199">
        <v>0</v>
      </c>
      <c r="GL199">
        <f t="shared" si="162"/>
        <v>0</v>
      </c>
      <c r="GM199">
        <f t="shared" si="163"/>
        <v>-1301.49</v>
      </c>
      <c r="GN199">
        <f t="shared" si="164"/>
        <v>-1301.49</v>
      </c>
      <c r="GO199">
        <f t="shared" si="165"/>
        <v>0</v>
      </c>
      <c r="GP199">
        <f t="shared" si="166"/>
        <v>0</v>
      </c>
      <c r="GR199">
        <v>0</v>
      </c>
      <c r="GS199">
        <v>3</v>
      </c>
      <c r="GT199">
        <v>0</v>
      </c>
      <c r="GU199" t="s">
        <v>3</v>
      </c>
      <c r="GV199">
        <f t="shared" si="167"/>
        <v>0</v>
      </c>
      <c r="GW199">
        <v>1</v>
      </c>
      <c r="GX199">
        <f t="shared" si="168"/>
        <v>0</v>
      </c>
      <c r="HA199">
        <v>0</v>
      </c>
      <c r="HB199">
        <v>0</v>
      </c>
      <c r="HC199">
        <f t="shared" si="169"/>
        <v>0</v>
      </c>
      <c r="HE199" t="s">
        <v>3</v>
      </c>
      <c r="HF199" t="s">
        <v>3</v>
      </c>
      <c r="HI199">
        <f t="shared" si="170"/>
        <v>0</v>
      </c>
      <c r="HJ199">
        <f t="shared" si="171"/>
        <v>0</v>
      </c>
      <c r="HK199">
        <f t="shared" si="172"/>
        <v>0</v>
      </c>
      <c r="HL199">
        <f t="shared" si="173"/>
        <v>0</v>
      </c>
      <c r="HM199" t="s">
        <v>3</v>
      </c>
      <c r="HN199" t="s">
        <v>3</v>
      </c>
      <c r="HO199" t="s">
        <v>3</v>
      </c>
      <c r="HP199" t="s">
        <v>3</v>
      </c>
      <c r="HQ199" t="s">
        <v>3</v>
      </c>
      <c r="IK199">
        <v>0</v>
      </c>
    </row>
    <row r="200" spans="1:245">
      <c r="A200">
        <v>18</v>
      </c>
      <c r="B200">
        <v>1</v>
      </c>
      <c r="C200">
        <v>192</v>
      </c>
      <c r="E200" t="s">
        <v>303</v>
      </c>
      <c r="F200" t="s">
        <v>304</v>
      </c>
      <c r="G200" t="s">
        <v>305</v>
      </c>
      <c r="H200" t="s">
        <v>298</v>
      </c>
      <c r="I200">
        <f>I198*J200</f>
        <v>-0.51749999999999996</v>
      </c>
      <c r="J200">
        <v>-14.999999999999998</v>
      </c>
      <c r="K200">
        <v>-15</v>
      </c>
      <c r="O200">
        <f t="shared" si="135"/>
        <v>-161.69999999999999</v>
      </c>
      <c r="P200">
        <f t="shared" si="136"/>
        <v>-161.69999999999999</v>
      </c>
      <c r="Q200">
        <f t="shared" si="137"/>
        <v>0</v>
      </c>
      <c r="R200">
        <f t="shared" si="138"/>
        <v>0</v>
      </c>
      <c r="S200">
        <f t="shared" si="139"/>
        <v>0</v>
      </c>
      <c r="T200">
        <f t="shared" si="140"/>
        <v>0</v>
      </c>
      <c r="U200">
        <f t="shared" si="141"/>
        <v>0</v>
      </c>
      <c r="V200">
        <f t="shared" si="142"/>
        <v>0</v>
      </c>
      <c r="W200">
        <f t="shared" si="143"/>
        <v>0</v>
      </c>
      <c r="X200">
        <f t="shared" si="144"/>
        <v>0</v>
      </c>
      <c r="Y200">
        <f t="shared" si="145"/>
        <v>0</v>
      </c>
      <c r="AA200">
        <v>47920234</v>
      </c>
      <c r="AB200">
        <f t="shared" si="146"/>
        <v>312.47000000000003</v>
      </c>
      <c r="AC200">
        <f t="shared" si="147"/>
        <v>312.47000000000003</v>
      </c>
      <c r="AD200">
        <f>ROUND((((ET200)-(EU200))+AE200),2)</f>
        <v>0</v>
      </c>
      <c r="AE200">
        <f>ROUND((EU200),2)</f>
        <v>0</v>
      </c>
      <c r="AF200">
        <f>ROUND((EV200),2)</f>
        <v>0</v>
      </c>
      <c r="AG200">
        <f t="shared" si="148"/>
        <v>0</v>
      </c>
      <c r="AH200">
        <f>(EW200)</f>
        <v>0</v>
      </c>
      <c r="AI200">
        <f>(EX200)</f>
        <v>0</v>
      </c>
      <c r="AJ200">
        <f t="shared" si="149"/>
        <v>0</v>
      </c>
      <c r="AK200">
        <v>312.47000000000003</v>
      </c>
      <c r="AL200">
        <v>312.47000000000003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1</v>
      </c>
      <c r="AW200">
        <v>1</v>
      </c>
      <c r="AZ200">
        <v>1</v>
      </c>
      <c r="BA200">
        <v>1</v>
      </c>
      <c r="BB200">
        <v>1</v>
      </c>
      <c r="BC200">
        <v>1</v>
      </c>
      <c r="BD200" t="s">
        <v>3</v>
      </c>
      <c r="BE200" t="s">
        <v>3</v>
      </c>
      <c r="BF200" t="s">
        <v>3</v>
      </c>
      <c r="BG200" t="s">
        <v>3</v>
      </c>
      <c r="BH200">
        <v>3</v>
      </c>
      <c r="BI200">
        <v>1</v>
      </c>
      <c r="BJ200" t="s">
        <v>306</v>
      </c>
      <c r="BM200">
        <v>500001</v>
      </c>
      <c r="BN200">
        <v>0</v>
      </c>
      <c r="BO200" t="s">
        <v>3</v>
      </c>
      <c r="BP200">
        <v>0</v>
      </c>
      <c r="BQ200">
        <v>8</v>
      </c>
      <c r="BR200">
        <v>1</v>
      </c>
      <c r="BS200">
        <v>1</v>
      </c>
      <c r="BT200">
        <v>1</v>
      </c>
      <c r="BU200">
        <v>1</v>
      </c>
      <c r="BV200">
        <v>1</v>
      </c>
      <c r="BW200">
        <v>1</v>
      </c>
      <c r="BX200">
        <v>1</v>
      </c>
      <c r="BY200" t="s">
        <v>3</v>
      </c>
      <c r="BZ200">
        <v>0</v>
      </c>
      <c r="CA200">
        <v>0</v>
      </c>
      <c r="CB200" t="s">
        <v>3</v>
      </c>
      <c r="CE200">
        <v>0</v>
      </c>
      <c r="CF200">
        <v>0</v>
      </c>
      <c r="CG200">
        <v>0</v>
      </c>
      <c r="CM200">
        <v>0</v>
      </c>
      <c r="CN200" t="s">
        <v>3</v>
      </c>
      <c r="CO200">
        <v>0</v>
      </c>
      <c r="CP200">
        <f t="shared" si="150"/>
        <v>-161.69999999999999</v>
      </c>
      <c r="CQ200">
        <f t="shared" si="151"/>
        <v>312.47000000000003</v>
      </c>
      <c r="CR200">
        <f t="shared" si="152"/>
        <v>0</v>
      </c>
      <c r="CS200">
        <f t="shared" si="153"/>
        <v>0</v>
      </c>
      <c r="CT200">
        <f t="shared" si="154"/>
        <v>0</v>
      </c>
      <c r="CU200">
        <f t="shared" si="155"/>
        <v>0</v>
      </c>
      <c r="CV200">
        <f t="shared" si="156"/>
        <v>0</v>
      </c>
      <c r="CW200">
        <f t="shared" si="157"/>
        <v>0</v>
      </c>
      <c r="CX200">
        <f t="shared" si="158"/>
        <v>0</v>
      </c>
      <c r="CY200">
        <f t="shared" si="159"/>
        <v>0</v>
      </c>
      <c r="CZ200">
        <f t="shared" si="160"/>
        <v>0</v>
      </c>
      <c r="DC200" t="s">
        <v>3</v>
      </c>
      <c r="DD200" t="s">
        <v>3</v>
      </c>
      <c r="DE200" t="s">
        <v>3</v>
      </c>
      <c r="DF200" t="s">
        <v>3</v>
      </c>
      <c r="DG200" t="s">
        <v>3</v>
      </c>
      <c r="DH200" t="s">
        <v>3</v>
      </c>
      <c r="DI200" t="s">
        <v>3</v>
      </c>
      <c r="DJ200" t="s">
        <v>3</v>
      </c>
      <c r="DK200" t="s">
        <v>3</v>
      </c>
      <c r="DL200" t="s">
        <v>3</v>
      </c>
      <c r="DM200" t="s">
        <v>3</v>
      </c>
      <c r="DN200">
        <v>0</v>
      </c>
      <c r="DO200">
        <v>0</v>
      </c>
      <c r="DP200">
        <v>1</v>
      </c>
      <c r="DQ200">
        <v>1</v>
      </c>
      <c r="DU200">
        <v>1007</v>
      </c>
      <c r="DV200" t="s">
        <v>298</v>
      </c>
      <c r="DW200" t="s">
        <v>298</v>
      </c>
      <c r="DX200">
        <v>1</v>
      </c>
      <c r="DZ200" t="s">
        <v>3</v>
      </c>
      <c r="EA200" t="s">
        <v>3</v>
      </c>
      <c r="EB200" t="s">
        <v>3</v>
      </c>
      <c r="EC200" t="s">
        <v>3</v>
      </c>
      <c r="EE200">
        <v>41328221</v>
      </c>
      <c r="EF200">
        <v>8</v>
      </c>
      <c r="EG200" t="s">
        <v>300</v>
      </c>
      <c r="EH200">
        <v>0</v>
      </c>
      <c r="EI200" t="s">
        <v>3</v>
      </c>
      <c r="EJ200">
        <v>1</v>
      </c>
      <c r="EK200">
        <v>500001</v>
      </c>
      <c r="EL200" t="s">
        <v>301</v>
      </c>
      <c r="EM200" t="s">
        <v>302</v>
      </c>
      <c r="EO200" t="s">
        <v>3</v>
      </c>
      <c r="EQ200">
        <v>32768</v>
      </c>
      <c r="ER200">
        <v>312.47000000000003</v>
      </c>
      <c r="ES200">
        <v>312.47000000000003</v>
      </c>
      <c r="ET200">
        <v>0</v>
      </c>
      <c r="EU200">
        <v>0</v>
      </c>
      <c r="EV200">
        <v>0</v>
      </c>
      <c r="EW200">
        <v>0</v>
      </c>
      <c r="EX200">
        <v>0</v>
      </c>
      <c r="FQ200">
        <v>0</v>
      </c>
      <c r="FR200">
        <f t="shared" si="161"/>
        <v>0</v>
      </c>
      <c r="FS200">
        <v>0</v>
      </c>
      <c r="FX200">
        <v>0</v>
      </c>
      <c r="FY200">
        <v>0</v>
      </c>
      <c r="GA200" t="s">
        <v>3</v>
      </c>
      <c r="GD200">
        <v>1</v>
      </c>
      <c r="GF200">
        <v>-562267757</v>
      </c>
      <c r="GG200">
        <v>2</v>
      </c>
      <c r="GH200">
        <v>1</v>
      </c>
      <c r="GI200">
        <v>4</v>
      </c>
      <c r="GJ200">
        <v>0</v>
      </c>
      <c r="GK200">
        <v>0</v>
      </c>
      <c r="GL200">
        <f t="shared" si="162"/>
        <v>0</v>
      </c>
      <c r="GM200">
        <f t="shared" si="163"/>
        <v>-161.69999999999999</v>
      </c>
      <c r="GN200">
        <f t="shared" si="164"/>
        <v>-161.69999999999999</v>
      </c>
      <c r="GO200">
        <f t="shared" si="165"/>
        <v>0</v>
      </c>
      <c r="GP200">
        <f t="shared" si="166"/>
        <v>0</v>
      </c>
      <c r="GR200">
        <v>0</v>
      </c>
      <c r="GS200">
        <v>3</v>
      </c>
      <c r="GT200">
        <v>0</v>
      </c>
      <c r="GU200" t="s">
        <v>3</v>
      </c>
      <c r="GV200">
        <f t="shared" si="167"/>
        <v>0</v>
      </c>
      <c r="GW200">
        <v>1</v>
      </c>
      <c r="GX200">
        <f t="shared" si="168"/>
        <v>0</v>
      </c>
      <c r="HA200">
        <v>0</v>
      </c>
      <c r="HB200">
        <v>0</v>
      </c>
      <c r="HC200">
        <f t="shared" si="169"/>
        <v>0</v>
      </c>
      <c r="HE200" t="s">
        <v>3</v>
      </c>
      <c r="HF200" t="s">
        <v>3</v>
      </c>
      <c r="HI200">
        <f t="shared" si="170"/>
        <v>0</v>
      </c>
      <c r="HJ200">
        <f t="shared" si="171"/>
        <v>0</v>
      </c>
      <c r="HK200">
        <f t="shared" si="172"/>
        <v>0</v>
      </c>
      <c r="HL200">
        <f t="shared" si="173"/>
        <v>0</v>
      </c>
      <c r="HM200" t="s">
        <v>3</v>
      </c>
      <c r="HN200" t="s">
        <v>3</v>
      </c>
      <c r="HO200" t="s">
        <v>3</v>
      </c>
      <c r="HP200" t="s">
        <v>3</v>
      </c>
      <c r="HQ200" t="s">
        <v>3</v>
      </c>
      <c r="IK200">
        <v>0</v>
      </c>
    </row>
    <row r="201" spans="1:245">
      <c r="A201">
        <v>17</v>
      </c>
      <c r="B201">
        <v>1</v>
      </c>
      <c r="C201">
        <f>ROW(SmtRes!A199)</f>
        <v>199</v>
      </c>
      <c r="D201">
        <f>ROW(EtalonRes!A204)</f>
        <v>204</v>
      </c>
      <c r="E201" t="s">
        <v>307</v>
      </c>
      <c r="F201" t="s">
        <v>308</v>
      </c>
      <c r="G201" t="s">
        <v>309</v>
      </c>
      <c r="H201" t="s">
        <v>293</v>
      </c>
      <c r="I201">
        <f>ROUND(34.5/1000,7)</f>
        <v>3.4500000000000003E-2</v>
      </c>
      <c r="J201">
        <v>0</v>
      </c>
      <c r="K201">
        <f>ROUND(34.5/1000,7)</f>
        <v>3.4500000000000003E-2</v>
      </c>
      <c r="O201">
        <f t="shared" si="135"/>
        <v>499.79</v>
      </c>
      <c r="P201">
        <f t="shared" si="136"/>
        <v>433.83</v>
      </c>
      <c r="Q201">
        <f t="shared" si="137"/>
        <v>65.959999999999994</v>
      </c>
      <c r="R201">
        <f t="shared" si="138"/>
        <v>6.97</v>
      </c>
      <c r="S201">
        <f t="shared" si="139"/>
        <v>0</v>
      </c>
      <c r="T201">
        <f t="shared" si="140"/>
        <v>0</v>
      </c>
      <c r="U201">
        <f t="shared" si="141"/>
        <v>0</v>
      </c>
      <c r="V201">
        <f t="shared" si="142"/>
        <v>0.59750550000000002</v>
      </c>
      <c r="W201">
        <f t="shared" si="143"/>
        <v>0</v>
      </c>
      <c r="X201">
        <f t="shared" si="144"/>
        <v>10.25</v>
      </c>
      <c r="Y201">
        <f t="shared" si="145"/>
        <v>9.34</v>
      </c>
      <c r="AA201">
        <v>47920234</v>
      </c>
      <c r="AB201">
        <f t="shared" si="146"/>
        <v>14486.65</v>
      </c>
      <c r="AC201">
        <f>ROUND(((ES201*ROUND(5,7))),2)</f>
        <v>12574.8</v>
      </c>
      <c r="AD201">
        <f>ROUND(((((ET201*ROUND((1.2*1.15*5),7)))-((EU201*ROUND((1.2*1.15*5),7))))+AE201),2)</f>
        <v>1911.85</v>
      </c>
      <c r="AE201">
        <f>ROUND(((EU201*ROUND((1.2*1.15*5),7))),2)</f>
        <v>202.1</v>
      </c>
      <c r="AF201">
        <f>ROUND(((EV201*ROUND((1.2*1.15*5),7))),2)</f>
        <v>0</v>
      </c>
      <c r="AG201">
        <f t="shared" si="148"/>
        <v>0</v>
      </c>
      <c r="AH201">
        <f>((EW201*ROUND((1.2*1.15*5),7)))</f>
        <v>0</v>
      </c>
      <c r="AI201">
        <f>((EX201*ROUND((1.2*1.15*5),7)))</f>
        <v>17.318999999999999</v>
      </c>
      <c r="AJ201">
        <f t="shared" si="149"/>
        <v>0</v>
      </c>
      <c r="AK201">
        <v>2792.04</v>
      </c>
      <c r="AL201">
        <v>2514.96</v>
      </c>
      <c r="AM201">
        <v>277.08</v>
      </c>
      <c r="AN201">
        <v>29.29</v>
      </c>
      <c r="AO201">
        <v>0</v>
      </c>
      <c r="AP201">
        <v>0</v>
      </c>
      <c r="AQ201">
        <v>0</v>
      </c>
      <c r="AR201">
        <v>2.5099999999999998</v>
      </c>
      <c r="AS201">
        <v>0</v>
      </c>
      <c r="AT201">
        <v>147</v>
      </c>
      <c r="AU201">
        <v>134</v>
      </c>
      <c r="AV201">
        <v>1</v>
      </c>
      <c r="AW201">
        <v>1</v>
      </c>
      <c r="AZ201">
        <v>1</v>
      </c>
      <c r="BA201">
        <v>28.93</v>
      </c>
      <c r="BB201">
        <v>1</v>
      </c>
      <c r="BC201">
        <v>1</v>
      </c>
      <c r="BD201" t="s">
        <v>3</v>
      </c>
      <c r="BE201" t="s">
        <v>3</v>
      </c>
      <c r="BF201" t="s">
        <v>3</v>
      </c>
      <c r="BG201" t="s">
        <v>3</v>
      </c>
      <c r="BH201">
        <v>0</v>
      </c>
      <c r="BI201">
        <v>1</v>
      </c>
      <c r="BJ201" t="s">
        <v>310</v>
      </c>
      <c r="BM201">
        <v>27001</v>
      </c>
      <c r="BN201">
        <v>0</v>
      </c>
      <c r="BO201" t="s">
        <v>3</v>
      </c>
      <c r="BP201">
        <v>0</v>
      </c>
      <c r="BQ201">
        <v>2</v>
      </c>
      <c r="BR201">
        <v>0</v>
      </c>
      <c r="BS201">
        <v>28.93</v>
      </c>
      <c r="BT201">
        <v>1</v>
      </c>
      <c r="BU201">
        <v>1</v>
      </c>
      <c r="BV201">
        <v>1</v>
      </c>
      <c r="BW201">
        <v>1</v>
      </c>
      <c r="BX201">
        <v>1</v>
      </c>
      <c r="BY201" t="s">
        <v>3</v>
      </c>
      <c r="BZ201">
        <v>147</v>
      </c>
      <c r="CA201">
        <v>134</v>
      </c>
      <c r="CB201" t="s">
        <v>3</v>
      </c>
      <c r="CE201">
        <v>0</v>
      </c>
      <c r="CF201">
        <v>0</v>
      </c>
      <c r="CG201">
        <v>0</v>
      </c>
      <c r="CM201">
        <v>0</v>
      </c>
      <c r="CN201" t="s">
        <v>3</v>
      </c>
      <c r="CO201">
        <v>0</v>
      </c>
      <c r="CP201">
        <f t="shared" si="150"/>
        <v>499.78999999999996</v>
      </c>
      <c r="CQ201">
        <f t="shared" si="151"/>
        <v>12574.8</v>
      </c>
      <c r="CR201">
        <f t="shared" si="152"/>
        <v>1911.85</v>
      </c>
      <c r="CS201">
        <f t="shared" si="153"/>
        <v>202.1</v>
      </c>
      <c r="CT201">
        <f t="shared" si="154"/>
        <v>0</v>
      </c>
      <c r="CU201">
        <f t="shared" si="155"/>
        <v>0</v>
      </c>
      <c r="CV201">
        <f t="shared" si="156"/>
        <v>0</v>
      </c>
      <c r="CW201">
        <f t="shared" si="157"/>
        <v>17.318999999999999</v>
      </c>
      <c r="CX201">
        <f t="shared" si="158"/>
        <v>0</v>
      </c>
      <c r="CY201">
        <f t="shared" si="159"/>
        <v>10.245899999999999</v>
      </c>
      <c r="CZ201">
        <f t="shared" si="160"/>
        <v>9.3398000000000003</v>
      </c>
      <c r="DC201" t="s">
        <v>3</v>
      </c>
      <c r="DD201" t="s">
        <v>311</v>
      </c>
      <c r="DE201" t="s">
        <v>312</v>
      </c>
      <c r="DF201" t="s">
        <v>312</v>
      </c>
      <c r="DG201" t="s">
        <v>312</v>
      </c>
      <c r="DH201" t="s">
        <v>3</v>
      </c>
      <c r="DI201" t="s">
        <v>312</v>
      </c>
      <c r="DJ201" t="s">
        <v>312</v>
      </c>
      <c r="DK201" t="s">
        <v>3</v>
      </c>
      <c r="DL201" t="s">
        <v>3</v>
      </c>
      <c r="DM201" t="s">
        <v>3</v>
      </c>
      <c r="DN201">
        <v>0</v>
      </c>
      <c r="DO201">
        <v>0</v>
      </c>
      <c r="DP201">
        <v>1</v>
      </c>
      <c r="DQ201">
        <v>1</v>
      </c>
      <c r="DU201">
        <v>1013</v>
      </c>
      <c r="DV201" t="s">
        <v>293</v>
      </c>
      <c r="DW201" t="s">
        <v>293</v>
      </c>
      <c r="DX201">
        <v>1</v>
      </c>
      <c r="DZ201" t="s">
        <v>3</v>
      </c>
      <c r="EA201" t="s">
        <v>3</v>
      </c>
      <c r="EB201" t="s">
        <v>3</v>
      </c>
      <c r="EC201" t="s">
        <v>3</v>
      </c>
      <c r="EE201">
        <v>41328329</v>
      </c>
      <c r="EF201">
        <v>2</v>
      </c>
      <c r="EG201" t="s">
        <v>21</v>
      </c>
      <c r="EH201">
        <v>21</v>
      </c>
      <c r="EI201" t="s">
        <v>253</v>
      </c>
      <c r="EJ201">
        <v>1</v>
      </c>
      <c r="EK201">
        <v>27001</v>
      </c>
      <c r="EL201" t="s">
        <v>253</v>
      </c>
      <c r="EM201" t="s">
        <v>255</v>
      </c>
      <c r="EO201" t="s">
        <v>3</v>
      </c>
      <c r="EQ201">
        <v>0</v>
      </c>
      <c r="ER201">
        <v>2792.04</v>
      </c>
      <c r="ES201">
        <v>2514.96</v>
      </c>
      <c r="ET201">
        <v>277.08</v>
      </c>
      <c r="EU201">
        <v>29.29</v>
      </c>
      <c r="EV201">
        <v>0</v>
      </c>
      <c r="EW201">
        <v>0</v>
      </c>
      <c r="EX201">
        <v>2.5099999999999998</v>
      </c>
      <c r="EY201">
        <v>0</v>
      </c>
      <c r="FQ201">
        <v>0</v>
      </c>
      <c r="FR201">
        <f t="shared" si="161"/>
        <v>0</v>
      </c>
      <c r="FS201">
        <v>0</v>
      </c>
      <c r="FX201">
        <v>147</v>
      </c>
      <c r="FY201">
        <v>134</v>
      </c>
      <c r="GA201" t="s">
        <v>3</v>
      </c>
      <c r="GD201">
        <v>1</v>
      </c>
      <c r="GF201">
        <v>-1136621905</v>
      </c>
      <c r="GG201">
        <v>2</v>
      </c>
      <c r="GH201">
        <v>1</v>
      </c>
      <c r="GI201">
        <v>4</v>
      </c>
      <c r="GJ201">
        <v>0</v>
      </c>
      <c r="GK201">
        <v>0</v>
      </c>
      <c r="GL201">
        <f t="shared" si="162"/>
        <v>0</v>
      </c>
      <c r="GM201">
        <f t="shared" si="163"/>
        <v>519.38</v>
      </c>
      <c r="GN201">
        <f t="shared" si="164"/>
        <v>519.38</v>
      </c>
      <c r="GO201">
        <f t="shared" si="165"/>
        <v>0</v>
      </c>
      <c r="GP201">
        <f t="shared" si="166"/>
        <v>0</v>
      </c>
      <c r="GR201">
        <v>0</v>
      </c>
      <c r="GS201">
        <v>3</v>
      </c>
      <c r="GT201">
        <v>0</v>
      </c>
      <c r="GU201" t="s">
        <v>3</v>
      </c>
      <c r="GV201">
        <f t="shared" si="167"/>
        <v>0</v>
      </c>
      <c r="GW201">
        <v>1</v>
      </c>
      <c r="GX201">
        <f t="shared" si="168"/>
        <v>0</v>
      </c>
      <c r="HA201">
        <v>0</v>
      </c>
      <c r="HB201">
        <v>0</v>
      </c>
      <c r="HC201">
        <f t="shared" si="169"/>
        <v>0</v>
      </c>
      <c r="HE201" t="s">
        <v>3</v>
      </c>
      <c r="HF201" t="s">
        <v>3</v>
      </c>
      <c r="HI201">
        <f t="shared" si="170"/>
        <v>201.64</v>
      </c>
      <c r="HJ201">
        <f t="shared" si="171"/>
        <v>0</v>
      </c>
      <c r="HK201">
        <f t="shared" si="172"/>
        <v>296.41000000000003</v>
      </c>
      <c r="HL201">
        <f t="shared" si="173"/>
        <v>270.2</v>
      </c>
      <c r="HM201" t="s">
        <v>3</v>
      </c>
      <c r="HN201" t="s">
        <v>256</v>
      </c>
      <c r="HO201" t="s">
        <v>257</v>
      </c>
      <c r="HP201" t="s">
        <v>253</v>
      </c>
      <c r="HQ201" t="s">
        <v>253</v>
      </c>
      <c r="IK201">
        <v>0</v>
      </c>
    </row>
    <row r="202" spans="1:245">
      <c r="A202">
        <v>18</v>
      </c>
      <c r="B202">
        <v>1</v>
      </c>
      <c r="C202">
        <v>199</v>
      </c>
      <c r="E202" t="s">
        <v>313</v>
      </c>
      <c r="F202" t="s">
        <v>296</v>
      </c>
      <c r="G202" t="s">
        <v>297</v>
      </c>
      <c r="H202" t="s">
        <v>298</v>
      </c>
      <c r="I202">
        <f>I201*J202</f>
        <v>-2.1735000000000002</v>
      </c>
      <c r="J202">
        <v>-63</v>
      </c>
      <c r="K202">
        <v>-12.6</v>
      </c>
      <c r="O202">
        <f t="shared" si="135"/>
        <v>-433.83</v>
      </c>
      <c r="P202">
        <f t="shared" si="136"/>
        <v>-433.83</v>
      </c>
      <c r="Q202">
        <f t="shared" si="137"/>
        <v>0</v>
      </c>
      <c r="R202">
        <f t="shared" si="138"/>
        <v>0</v>
      </c>
      <c r="S202">
        <f t="shared" si="139"/>
        <v>0</v>
      </c>
      <c r="T202">
        <f t="shared" si="140"/>
        <v>0</v>
      </c>
      <c r="U202">
        <f t="shared" si="141"/>
        <v>0</v>
      </c>
      <c r="V202">
        <f t="shared" si="142"/>
        <v>0</v>
      </c>
      <c r="W202">
        <f t="shared" si="143"/>
        <v>0</v>
      </c>
      <c r="X202">
        <f t="shared" si="144"/>
        <v>0</v>
      </c>
      <c r="Y202">
        <f t="shared" si="145"/>
        <v>0</v>
      </c>
      <c r="AA202">
        <v>47920234</v>
      </c>
      <c r="AB202">
        <f t="shared" si="146"/>
        <v>199.6</v>
      </c>
      <c r="AC202">
        <f t="shared" ref="AC202:AC210" si="176">ROUND((ES202),2)</f>
        <v>199.6</v>
      </c>
      <c r="AD202">
        <f>ROUND((((ET202)-(EU202))+AE202),2)</f>
        <v>0</v>
      </c>
      <c r="AE202">
        <f>ROUND((EU202),2)</f>
        <v>0</v>
      </c>
      <c r="AF202">
        <f>ROUND((EV202),2)</f>
        <v>0</v>
      </c>
      <c r="AG202">
        <f t="shared" si="148"/>
        <v>0</v>
      </c>
      <c r="AH202">
        <f>(EW202)</f>
        <v>0</v>
      </c>
      <c r="AI202">
        <f>(EX202)</f>
        <v>0</v>
      </c>
      <c r="AJ202">
        <f t="shared" si="149"/>
        <v>0</v>
      </c>
      <c r="AK202">
        <v>199.6</v>
      </c>
      <c r="AL202">
        <v>199.6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147</v>
      </c>
      <c r="AU202">
        <v>134</v>
      </c>
      <c r="AV202">
        <v>1</v>
      </c>
      <c r="AW202">
        <v>1</v>
      </c>
      <c r="AZ202">
        <v>1</v>
      </c>
      <c r="BA202">
        <v>1</v>
      </c>
      <c r="BB202">
        <v>1</v>
      </c>
      <c r="BC202">
        <v>1</v>
      </c>
      <c r="BD202" t="s">
        <v>3</v>
      </c>
      <c r="BE202" t="s">
        <v>3</v>
      </c>
      <c r="BF202" t="s">
        <v>3</v>
      </c>
      <c r="BG202" t="s">
        <v>3</v>
      </c>
      <c r="BH202">
        <v>3</v>
      </c>
      <c r="BI202">
        <v>1</v>
      </c>
      <c r="BJ202" t="s">
        <v>299</v>
      </c>
      <c r="BM202">
        <v>27001</v>
      </c>
      <c r="BN202">
        <v>0</v>
      </c>
      <c r="BO202" t="s">
        <v>3</v>
      </c>
      <c r="BP202">
        <v>0</v>
      </c>
      <c r="BQ202">
        <v>2</v>
      </c>
      <c r="BR202">
        <v>1</v>
      </c>
      <c r="BS202">
        <v>1</v>
      </c>
      <c r="BT202">
        <v>1</v>
      </c>
      <c r="BU202">
        <v>1</v>
      </c>
      <c r="BV202">
        <v>1</v>
      </c>
      <c r="BW202">
        <v>1</v>
      </c>
      <c r="BX202">
        <v>1</v>
      </c>
      <c r="BY202" t="s">
        <v>3</v>
      </c>
      <c r="BZ202">
        <v>147</v>
      </c>
      <c r="CA202">
        <v>134</v>
      </c>
      <c r="CB202" t="s">
        <v>3</v>
      </c>
      <c r="CE202">
        <v>0</v>
      </c>
      <c r="CF202">
        <v>0</v>
      </c>
      <c r="CG202">
        <v>0</v>
      </c>
      <c r="CM202">
        <v>0</v>
      </c>
      <c r="CN202" t="s">
        <v>3</v>
      </c>
      <c r="CO202">
        <v>0</v>
      </c>
      <c r="CP202">
        <f t="shared" si="150"/>
        <v>-433.83</v>
      </c>
      <c r="CQ202">
        <f t="shared" si="151"/>
        <v>199.6</v>
      </c>
      <c r="CR202">
        <f t="shared" si="152"/>
        <v>0</v>
      </c>
      <c r="CS202">
        <f t="shared" si="153"/>
        <v>0</v>
      </c>
      <c r="CT202">
        <f t="shared" si="154"/>
        <v>0</v>
      </c>
      <c r="CU202">
        <f t="shared" si="155"/>
        <v>0</v>
      </c>
      <c r="CV202">
        <f t="shared" si="156"/>
        <v>0</v>
      </c>
      <c r="CW202">
        <f t="shared" si="157"/>
        <v>0</v>
      </c>
      <c r="CX202">
        <f t="shared" si="158"/>
        <v>0</v>
      </c>
      <c r="CY202">
        <f t="shared" si="159"/>
        <v>0</v>
      </c>
      <c r="CZ202">
        <f t="shared" si="160"/>
        <v>0</v>
      </c>
      <c r="DC202" t="s">
        <v>3</v>
      </c>
      <c r="DD202" t="s">
        <v>3</v>
      </c>
      <c r="DE202" t="s">
        <v>3</v>
      </c>
      <c r="DF202" t="s">
        <v>3</v>
      </c>
      <c r="DG202" t="s">
        <v>3</v>
      </c>
      <c r="DH202" t="s">
        <v>3</v>
      </c>
      <c r="DI202" t="s">
        <v>3</v>
      </c>
      <c r="DJ202" t="s">
        <v>3</v>
      </c>
      <c r="DK202" t="s">
        <v>3</v>
      </c>
      <c r="DL202" t="s">
        <v>3</v>
      </c>
      <c r="DM202" t="s">
        <v>3</v>
      </c>
      <c r="DN202">
        <v>0</v>
      </c>
      <c r="DO202">
        <v>0</v>
      </c>
      <c r="DP202">
        <v>1</v>
      </c>
      <c r="DQ202">
        <v>1</v>
      </c>
      <c r="DU202">
        <v>1007</v>
      </c>
      <c r="DV202" t="s">
        <v>298</v>
      </c>
      <c r="DW202" t="s">
        <v>298</v>
      </c>
      <c r="DX202">
        <v>1</v>
      </c>
      <c r="DZ202" t="s">
        <v>3</v>
      </c>
      <c r="EA202" t="s">
        <v>3</v>
      </c>
      <c r="EB202" t="s">
        <v>3</v>
      </c>
      <c r="EC202" t="s">
        <v>3</v>
      </c>
      <c r="EE202">
        <v>41328329</v>
      </c>
      <c r="EF202">
        <v>2</v>
      </c>
      <c r="EG202" t="s">
        <v>21</v>
      </c>
      <c r="EH202">
        <v>21</v>
      </c>
      <c r="EI202" t="s">
        <v>253</v>
      </c>
      <c r="EJ202">
        <v>1</v>
      </c>
      <c r="EK202">
        <v>27001</v>
      </c>
      <c r="EL202" t="s">
        <v>253</v>
      </c>
      <c r="EM202" t="s">
        <v>255</v>
      </c>
      <c r="EO202" t="s">
        <v>3</v>
      </c>
      <c r="EQ202">
        <v>32768</v>
      </c>
      <c r="ER202">
        <v>199.6</v>
      </c>
      <c r="ES202">
        <v>199.6</v>
      </c>
      <c r="ET202">
        <v>0</v>
      </c>
      <c r="EU202">
        <v>0</v>
      </c>
      <c r="EV202">
        <v>0</v>
      </c>
      <c r="EW202">
        <v>0</v>
      </c>
      <c r="EX202">
        <v>0</v>
      </c>
      <c r="FQ202">
        <v>0</v>
      </c>
      <c r="FR202">
        <f t="shared" si="161"/>
        <v>0</v>
      </c>
      <c r="FS202">
        <v>0</v>
      </c>
      <c r="FX202">
        <v>147</v>
      </c>
      <c r="FY202">
        <v>134</v>
      </c>
      <c r="GA202" t="s">
        <v>3</v>
      </c>
      <c r="GD202">
        <v>1</v>
      </c>
      <c r="GF202">
        <v>-565367017</v>
      </c>
      <c r="GG202">
        <v>2</v>
      </c>
      <c r="GH202">
        <v>1</v>
      </c>
      <c r="GI202">
        <v>4</v>
      </c>
      <c r="GJ202">
        <v>0</v>
      </c>
      <c r="GK202">
        <v>0</v>
      </c>
      <c r="GL202">
        <f t="shared" si="162"/>
        <v>0</v>
      </c>
      <c r="GM202">
        <f t="shared" si="163"/>
        <v>-433.83</v>
      </c>
      <c r="GN202">
        <f t="shared" si="164"/>
        <v>-433.83</v>
      </c>
      <c r="GO202">
        <f t="shared" si="165"/>
        <v>0</v>
      </c>
      <c r="GP202">
        <f t="shared" si="166"/>
        <v>0</v>
      </c>
      <c r="GR202">
        <v>0</v>
      </c>
      <c r="GS202">
        <v>3</v>
      </c>
      <c r="GT202">
        <v>0</v>
      </c>
      <c r="GU202" t="s">
        <v>3</v>
      </c>
      <c r="GV202">
        <f t="shared" si="167"/>
        <v>0</v>
      </c>
      <c r="GW202">
        <v>1</v>
      </c>
      <c r="GX202">
        <f t="shared" si="168"/>
        <v>0</v>
      </c>
      <c r="HA202">
        <v>0</v>
      </c>
      <c r="HB202">
        <v>0</v>
      </c>
      <c r="HC202">
        <f t="shared" si="169"/>
        <v>0</v>
      </c>
      <c r="HE202" t="s">
        <v>3</v>
      </c>
      <c r="HF202" t="s">
        <v>3</v>
      </c>
      <c r="HI202">
        <f t="shared" si="170"/>
        <v>0</v>
      </c>
      <c r="HJ202">
        <f t="shared" si="171"/>
        <v>0</v>
      </c>
      <c r="HK202">
        <f t="shared" si="172"/>
        <v>0</v>
      </c>
      <c r="HL202">
        <f t="shared" si="173"/>
        <v>0</v>
      </c>
      <c r="HM202" t="s">
        <v>311</v>
      </c>
      <c r="HN202" t="s">
        <v>256</v>
      </c>
      <c r="HO202" t="s">
        <v>257</v>
      </c>
      <c r="HP202" t="s">
        <v>253</v>
      </c>
      <c r="HQ202" t="s">
        <v>253</v>
      </c>
      <c r="IK202">
        <v>0</v>
      </c>
    </row>
    <row r="203" spans="1:245">
      <c r="A203">
        <v>17</v>
      </c>
      <c r="B203">
        <v>1</v>
      </c>
      <c r="E203" t="s">
        <v>314</v>
      </c>
      <c r="F203" t="s">
        <v>315</v>
      </c>
      <c r="G203" t="s">
        <v>297</v>
      </c>
      <c r="H203" t="s">
        <v>298</v>
      </c>
      <c r="I203">
        <f>ROUND(6.5205+0.5175+2.1735,7)</f>
        <v>9.2114999999999991</v>
      </c>
      <c r="J203">
        <v>0</v>
      </c>
      <c r="K203">
        <f>ROUND(6.5205+0.5175+2.1735,7)</f>
        <v>9.2114999999999991</v>
      </c>
      <c r="O203">
        <f t="shared" si="135"/>
        <v>4196.76</v>
      </c>
      <c r="P203">
        <f>ROUND(ROUND(CQ203*I203,2)/BC203,2)</f>
        <v>4196.76</v>
      </c>
      <c r="Q203">
        <f t="shared" si="137"/>
        <v>0</v>
      </c>
      <c r="R203">
        <f t="shared" si="138"/>
        <v>0</v>
      </c>
      <c r="S203">
        <f t="shared" si="139"/>
        <v>0</v>
      </c>
      <c r="T203">
        <f t="shared" si="140"/>
        <v>0</v>
      </c>
      <c r="U203">
        <f t="shared" si="141"/>
        <v>0</v>
      </c>
      <c r="V203">
        <f t="shared" si="142"/>
        <v>0</v>
      </c>
      <c r="W203">
        <f t="shared" si="143"/>
        <v>0</v>
      </c>
      <c r="X203">
        <f t="shared" si="144"/>
        <v>0</v>
      </c>
      <c r="Y203">
        <f t="shared" si="145"/>
        <v>0</v>
      </c>
      <c r="AA203">
        <v>47920234</v>
      </c>
      <c r="AB203">
        <f t="shared" si="146"/>
        <v>2346.34</v>
      </c>
      <c r="AC203">
        <f t="shared" si="176"/>
        <v>2346.34</v>
      </c>
      <c r="AD203">
        <f>ROUND((((ET203)-(EU203))+AE203),2)</f>
        <v>0</v>
      </c>
      <c r="AE203">
        <f>ROUND((EU203),2)</f>
        <v>0</v>
      </c>
      <c r="AF203">
        <f>ROUND((EV203),2)</f>
        <v>0</v>
      </c>
      <c r="AG203">
        <f t="shared" si="148"/>
        <v>0</v>
      </c>
      <c r="AH203">
        <f>(EW203)</f>
        <v>0</v>
      </c>
      <c r="AI203">
        <f>(EX203)</f>
        <v>0</v>
      </c>
      <c r="AJ203">
        <f t="shared" si="149"/>
        <v>0</v>
      </c>
      <c r="AK203">
        <v>2346.34</v>
      </c>
      <c r="AL203">
        <v>2346.34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1</v>
      </c>
      <c r="AW203">
        <v>1</v>
      </c>
      <c r="AZ203">
        <v>1</v>
      </c>
      <c r="BA203">
        <v>1</v>
      </c>
      <c r="BB203">
        <v>1</v>
      </c>
      <c r="BC203">
        <v>5.15</v>
      </c>
      <c r="BD203" t="s">
        <v>3</v>
      </c>
      <c r="BE203" t="s">
        <v>3</v>
      </c>
      <c r="BF203" t="s">
        <v>3</v>
      </c>
      <c r="BG203" t="s">
        <v>3</v>
      </c>
      <c r="BH203">
        <v>3</v>
      </c>
      <c r="BI203">
        <v>2</v>
      </c>
      <c r="BJ203" t="s">
        <v>315</v>
      </c>
      <c r="BM203">
        <v>500004</v>
      </c>
      <c r="BN203">
        <v>0</v>
      </c>
      <c r="BO203" t="s">
        <v>3</v>
      </c>
      <c r="BP203">
        <v>0</v>
      </c>
      <c r="BQ203">
        <v>14</v>
      </c>
      <c r="BR203">
        <v>0</v>
      </c>
      <c r="BS203">
        <v>1</v>
      </c>
      <c r="BT203">
        <v>1</v>
      </c>
      <c r="BU203">
        <v>1</v>
      </c>
      <c r="BV203">
        <v>1</v>
      </c>
      <c r="BW203">
        <v>1</v>
      </c>
      <c r="BX203">
        <v>1</v>
      </c>
      <c r="BY203" t="s">
        <v>3</v>
      </c>
      <c r="BZ203">
        <v>0</v>
      </c>
      <c r="CA203">
        <v>0</v>
      </c>
      <c r="CB203" t="s">
        <v>3</v>
      </c>
      <c r="CE203">
        <v>0</v>
      </c>
      <c r="CF203">
        <v>0</v>
      </c>
      <c r="CG203">
        <v>0</v>
      </c>
      <c r="CM203">
        <v>0</v>
      </c>
      <c r="CN203" t="s">
        <v>3</v>
      </c>
      <c r="CO203">
        <v>0</v>
      </c>
      <c r="CP203">
        <f t="shared" si="150"/>
        <v>4196.76</v>
      </c>
      <c r="CQ203">
        <f>AC203</f>
        <v>2346.34</v>
      </c>
      <c r="CR203">
        <f t="shared" si="152"/>
        <v>0</v>
      </c>
      <c r="CS203">
        <f t="shared" si="153"/>
        <v>0</v>
      </c>
      <c r="CT203">
        <f t="shared" si="154"/>
        <v>0</v>
      </c>
      <c r="CU203">
        <f t="shared" si="155"/>
        <v>0</v>
      </c>
      <c r="CV203">
        <f t="shared" si="156"/>
        <v>0</v>
      </c>
      <c r="CW203">
        <f t="shared" si="157"/>
        <v>0</v>
      </c>
      <c r="CX203">
        <f t="shared" si="158"/>
        <v>0</v>
      </c>
      <c r="CY203">
        <f t="shared" si="159"/>
        <v>0</v>
      </c>
      <c r="CZ203">
        <f t="shared" si="160"/>
        <v>0</v>
      </c>
      <c r="DC203" t="s">
        <v>3</v>
      </c>
      <c r="DD203" t="s">
        <v>3</v>
      </c>
      <c r="DE203" t="s">
        <v>3</v>
      </c>
      <c r="DF203" t="s">
        <v>3</v>
      </c>
      <c r="DG203" t="s">
        <v>3</v>
      </c>
      <c r="DH203" t="s">
        <v>3</v>
      </c>
      <c r="DI203" t="s">
        <v>3</v>
      </c>
      <c r="DJ203" t="s">
        <v>3</v>
      </c>
      <c r="DK203" t="s">
        <v>3</v>
      </c>
      <c r="DL203" t="s">
        <v>3</v>
      </c>
      <c r="DM203" t="s">
        <v>3</v>
      </c>
      <c r="DN203">
        <v>0</v>
      </c>
      <c r="DO203">
        <v>0</v>
      </c>
      <c r="DP203">
        <v>1</v>
      </c>
      <c r="DQ203">
        <v>1</v>
      </c>
      <c r="DU203">
        <v>1007</v>
      </c>
      <c r="DV203" t="s">
        <v>298</v>
      </c>
      <c r="DW203" t="s">
        <v>298</v>
      </c>
      <c r="DX203">
        <v>1</v>
      </c>
      <c r="DZ203" t="s">
        <v>3</v>
      </c>
      <c r="EA203" t="s">
        <v>3</v>
      </c>
      <c r="EB203" t="s">
        <v>3</v>
      </c>
      <c r="EC203" t="s">
        <v>3</v>
      </c>
      <c r="EE203">
        <v>41328483</v>
      </c>
      <c r="EF203">
        <v>14</v>
      </c>
      <c r="EG203" t="s">
        <v>316</v>
      </c>
      <c r="EH203">
        <v>0</v>
      </c>
      <c r="EI203" t="s">
        <v>3</v>
      </c>
      <c r="EJ203">
        <v>2</v>
      </c>
      <c r="EK203">
        <v>500004</v>
      </c>
      <c r="EL203" t="s">
        <v>317</v>
      </c>
      <c r="EM203" t="s">
        <v>318</v>
      </c>
      <c r="EO203" t="s">
        <v>3</v>
      </c>
      <c r="EQ203">
        <v>2097152</v>
      </c>
      <c r="ER203">
        <v>2346.34</v>
      </c>
      <c r="ES203">
        <v>2346.34</v>
      </c>
      <c r="ET203">
        <v>0</v>
      </c>
      <c r="EU203">
        <v>0</v>
      </c>
      <c r="EV203">
        <v>0</v>
      </c>
      <c r="EW203">
        <v>0</v>
      </c>
      <c r="EX203">
        <v>0</v>
      </c>
      <c r="EY203">
        <v>0</v>
      </c>
      <c r="EZ203">
        <v>5</v>
      </c>
      <c r="FC203">
        <v>0</v>
      </c>
      <c r="FD203">
        <v>18</v>
      </c>
      <c r="FF203">
        <v>2346.34</v>
      </c>
      <c r="FQ203">
        <v>0</v>
      </c>
      <c r="FR203">
        <f t="shared" si="161"/>
        <v>0</v>
      </c>
      <c r="FS203">
        <v>0</v>
      </c>
      <c r="FX203">
        <v>0</v>
      </c>
      <c r="FY203">
        <v>0</v>
      </c>
      <c r="GA203" t="s">
        <v>3</v>
      </c>
      <c r="GD203">
        <v>1</v>
      </c>
      <c r="GF203">
        <v>-1234186642</v>
      </c>
      <c r="GG203">
        <v>2</v>
      </c>
      <c r="GH203">
        <v>3</v>
      </c>
      <c r="GI203">
        <v>4</v>
      </c>
      <c r="GJ203">
        <v>0</v>
      </c>
      <c r="GK203">
        <v>0</v>
      </c>
      <c r="GL203">
        <f t="shared" si="162"/>
        <v>0</v>
      </c>
      <c r="GM203">
        <f t="shared" si="163"/>
        <v>4196.76</v>
      </c>
      <c r="GN203">
        <f t="shared" si="164"/>
        <v>0</v>
      </c>
      <c r="GO203">
        <f t="shared" si="165"/>
        <v>4196.76</v>
      </c>
      <c r="GP203">
        <f t="shared" si="166"/>
        <v>0</v>
      </c>
      <c r="GR203">
        <v>1</v>
      </c>
      <c r="GS203">
        <v>1</v>
      </c>
      <c r="GT203">
        <v>0</v>
      </c>
      <c r="GU203" t="s">
        <v>3</v>
      </c>
      <c r="GV203">
        <f t="shared" si="167"/>
        <v>0</v>
      </c>
      <c r="GW203">
        <v>1</v>
      </c>
      <c r="GX203">
        <f t="shared" si="168"/>
        <v>0</v>
      </c>
      <c r="HA203">
        <v>0</v>
      </c>
      <c r="HB203">
        <v>0</v>
      </c>
      <c r="HC203">
        <f t="shared" si="169"/>
        <v>0</v>
      </c>
      <c r="HE203" t="s">
        <v>3</v>
      </c>
      <c r="HF203" t="s">
        <v>3</v>
      </c>
      <c r="HG203">
        <f>ROUND(AC203*I203,2)</f>
        <v>21613.31</v>
      </c>
      <c r="HI203">
        <f t="shared" si="170"/>
        <v>0</v>
      </c>
      <c r="HJ203">
        <f t="shared" si="171"/>
        <v>0</v>
      </c>
      <c r="HK203">
        <f t="shared" si="172"/>
        <v>0</v>
      </c>
      <c r="HL203">
        <f t="shared" si="173"/>
        <v>0</v>
      </c>
      <c r="HM203" t="s">
        <v>3</v>
      </c>
      <c r="HN203" t="s">
        <v>3</v>
      </c>
      <c r="HO203" t="s">
        <v>3</v>
      </c>
      <c r="HP203" t="s">
        <v>3</v>
      </c>
      <c r="HQ203" t="s">
        <v>3</v>
      </c>
      <c r="IK203">
        <v>0</v>
      </c>
    </row>
    <row r="204" spans="1:245">
      <c r="A204">
        <v>17</v>
      </c>
      <c r="B204">
        <v>1</v>
      </c>
      <c r="C204">
        <f>ROW(SmtRes!A202)</f>
        <v>202</v>
      </c>
      <c r="D204">
        <f>ROW(EtalonRes!A207)</f>
        <v>207</v>
      </c>
      <c r="E204" t="s">
        <v>319</v>
      </c>
      <c r="F204" t="s">
        <v>320</v>
      </c>
      <c r="G204" t="s">
        <v>321</v>
      </c>
      <c r="H204" t="s">
        <v>322</v>
      </c>
      <c r="I204">
        <f>ROUND(34.5*0.0005,7)</f>
        <v>1.7250000000000001E-2</v>
      </c>
      <c r="J204">
        <v>0</v>
      </c>
      <c r="K204">
        <f>ROUND(34.5*0.0005,7)</f>
        <v>1.7250000000000001E-2</v>
      </c>
      <c r="O204">
        <f t="shared" si="135"/>
        <v>43.71</v>
      </c>
      <c r="P204">
        <f>ROUND(CQ204*I204,2)</f>
        <v>42.55</v>
      </c>
      <c r="Q204">
        <f t="shared" si="137"/>
        <v>1.1599999999999999</v>
      </c>
      <c r="R204">
        <f t="shared" si="138"/>
        <v>0.17</v>
      </c>
      <c r="S204">
        <f t="shared" si="139"/>
        <v>0</v>
      </c>
      <c r="T204">
        <f t="shared" si="140"/>
        <v>0</v>
      </c>
      <c r="U204">
        <f t="shared" si="141"/>
        <v>0</v>
      </c>
      <c r="V204">
        <f t="shared" si="142"/>
        <v>1.5711300000000001E-2</v>
      </c>
      <c r="W204">
        <f t="shared" si="143"/>
        <v>0</v>
      </c>
      <c r="X204">
        <f t="shared" si="144"/>
        <v>0.25</v>
      </c>
      <c r="Y204">
        <f t="shared" si="145"/>
        <v>0.23</v>
      </c>
      <c r="AA204">
        <v>47920234</v>
      </c>
      <c r="AB204">
        <f t="shared" si="146"/>
        <v>2533.92</v>
      </c>
      <c r="AC204">
        <f t="shared" si="176"/>
        <v>2466.91</v>
      </c>
      <c r="AD204">
        <f>ROUND(((((ET204*ROUND((1.2*1.15),7)))-((EU204*ROUND((1.2*1.15),7))))+AE204),2)</f>
        <v>67.010000000000005</v>
      </c>
      <c r="AE204">
        <f>ROUND(((EU204*ROUND((1.2*1.15),7))),2)</f>
        <v>9.59</v>
      </c>
      <c r="AF204">
        <f>ROUND(((EV204*ROUND((1.2*1.15),7))),2)</f>
        <v>0</v>
      </c>
      <c r="AG204">
        <f t="shared" si="148"/>
        <v>0</v>
      </c>
      <c r="AH204">
        <f>((EW204*ROUND((1.2*1.15),7)))</f>
        <v>0</v>
      </c>
      <c r="AI204">
        <f>((EX204*ROUND((1.2*1.15),7)))</f>
        <v>0.91079999999999994</v>
      </c>
      <c r="AJ204">
        <f t="shared" si="149"/>
        <v>0</v>
      </c>
      <c r="AK204">
        <v>2515.4699999999998</v>
      </c>
      <c r="AL204">
        <v>2466.91</v>
      </c>
      <c r="AM204">
        <v>48.56</v>
      </c>
      <c r="AN204">
        <v>6.95</v>
      </c>
      <c r="AO204">
        <v>0</v>
      </c>
      <c r="AP204">
        <v>0</v>
      </c>
      <c r="AQ204">
        <v>0</v>
      </c>
      <c r="AR204">
        <v>0.66</v>
      </c>
      <c r="AS204">
        <v>0</v>
      </c>
      <c r="AT204">
        <v>147</v>
      </c>
      <c r="AU204">
        <v>134</v>
      </c>
      <c r="AV204">
        <v>1</v>
      </c>
      <c r="AW204">
        <v>1</v>
      </c>
      <c r="AZ204">
        <v>1</v>
      </c>
      <c r="BA204">
        <v>28.93</v>
      </c>
      <c r="BB204">
        <v>1</v>
      </c>
      <c r="BC204">
        <v>1</v>
      </c>
      <c r="BD204" t="s">
        <v>3</v>
      </c>
      <c r="BE204" t="s">
        <v>3</v>
      </c>
      <c r="BF204" t="s">
        <v>3</v>
      </c>
      <c r="BG204" t="s">
        <v>3</v>
      </c>
      <c r="BH204">
        <v>0</v>
      </c>
      <c r="BI204">
        <v>1</v>
      </c>
      <c r="BJ204" t="s">
        <v>323</v>
      </c>
      <c r="BM204">
        <v>27001</v>
      </c>
      <c r="BN204">
        <v>0</v>
      </c>
      <c r="BO204" t="s">
        <v>3</v>
      </c>
      <c r="BP204">
        <v>0</v>
      </c>
      <c r="BQ204">
        <v>2</v>
      </c>
      <c r="BR204">
        <v>0</v>
      </c>
      <c r="BS204">
        <v>28.93</v>
      </c>
      <c r="BT204">
        <v>1</v>
      </c>
      <c r="BU204">
        <v>1</v>
      </c>
      <c r="BV204">
        <v>1</v>
      </c>
      <c r="BW204">
        <v>1</v>
      </c>
      <c r="BX204">
        <v>1</v>
      </c>
      <c r="BY204" t="s">
        <v>3</v>
      </c>
      <c r="BZ204">
        <v>147</v>
      </c>
      <c r="CA204">
        <v>134</v>
      </c>
      <c r="CB204" t="s">
        <v>3</v>
      </c>
      <c r="CE204">
        <v>0</v>
      </c>
      <c r="CF204">
        <v>0</v>
      </c>
      <c r="CG204">
        <v>0</v>
      </c>
      <c r="CM204">
        <v>0</v>
      </c>
      <c r="CN204" t="s">
        <v>3</v>
      </c>
      <c r="CO204">
        <v>0</v>
      </c>
      <c r="CP204">
        <f t="shared" si="150"/>
        <v>43.709999999999994</v>
      </c>
      <c r="CQ204">
        <f>AC204*BC204</f>
        <v>2466.91</v>
      </c>
      <c r="CR204">
        <f t="shared" si="152"/>
        <v>67.010000000000005</v>
      </c>
      <c r="CS204">
        <f t="shared" si="153"/>
        <v>9.59</v>
      </c>
      <c r="CT204">
        <f t="shared" si="154"/>
        <v>0</v>
      </c>
      <c r="CU204">
        <f t="shared" si="155"/>
        <v>0</v>
      </c>
      <c r="CV204">
        <f t="shared" si="156"/>
        <v>0</v>
      </c>
      <c r="CW204">
        <f t="shared" si="157"/>
        <v>0.91079999999999994</v>
      </c>
      <c r="CX204">
        <f t="shared" si="158"/>
        <v>0</v>
      </c>
      <c r="CY204">
        <f t="shared" si="159"/>
        <v>0.24990000000000001</v>
      </c>
      <c r="CZ204">
        <f t="shared" si="160"/>
        <v>0.2278</v>
      </c>
      <c r="DC204" t="s">
        <v>3</v>
      </c>
      <c r="DD204" t="s">
        <v>3</v>
      </c>
      <c r="DE204" t="s">
        <v>20</v>
      </c>
      <c r="DF204" t="s">
        <v>20</v>
      </c>
      <c r="DG204" t="s">
        <v>20</v>
      </c>
      <c r="DH204" t="s">
        <v>3</v>
      </c>
      <c r="DI204" t="s">
        <v>20</v>
      </c>
      <c r="DJ204" t="s">
        <v>20</v>
      </c>
      <c r="DK204" t="s">
        <v>3</v>
      </c>
      <c r="DL204" t="s">
        <v>3</v>
      </c>
      <c r="DM204" t="s">
        <v>3</v>
      </c>
      <c r="DN204">
        <v>0</v>
      </c>
      <c r="DO204">
        <v>0</v>
      </c>
      <c r="DP204">
        <v>1</v>
      </c>
      <c r="DQ204">
        <v>1</v>
      </c>
      <c r="DU204">
        <v>1013</v>
      </c>
      <c r="DV204" t="s">
        <v>322</v>
      </c>
      <c r="DW204" t="s">
        <v>322</v>
      </c>
      <c r="DX204">
        <v>1</v>
      </c>
      <c r="DZ204" t="s">
        <v>3</v>
      </c>
      <c r="EA204" t="s">
        <v>3</v>
      </c>
      <c r="EB204" t="s">
        <v>3</v>
      </c>
      <c r="EC204" t="s">
        <v>3</v>
      </c>
      <c r="EE204">
        <v>41328329</v>
      </c>
      <c r="EF204">
        <v>2</v>
      </c>
      <c r="EG204" t="s">
        <v>21</v>
      </c>
      <c r="EH204">
        <v>21</v>
      </c>
      <c r="EI204" t="s">
        <v>253</v>
      </c>
      <c r="EJ204">
        <v>1</v>
      </c>
      <c r="EK204">
        <v>27001</v>
      </c>
      <c r="EL204" t="s">
        <v>253</v>
      </c>
      <c r="EM204" t="s">
        <v>255</v>
      </c>
      <c r="EO204" t="s">
        <v>3</v>
      </c>
      <c r="EQ204">
        <v>0</v>
      </c>
      <c r="ER204">
        <v>2515.4699999999998</v>
      </c>
      <c r="ES204">
        <v>2466.91</v>
      </c>
      <c r="ET204">
        <v>48.56</v>
      </c>
      <c r="EU204">
        <v>6.95</v>
      </c>
      <c r="EV204">
        <v>0</v>
      </c>
      <c r="EW204">
        <v>0</v>
      </c>
      <c r="EX204">
        <v>0.66</v>
      </c>
      <c r="EY204">
        <v>0</v>
      </c>
      <c r="FQ204">
        <v>0</v>
      </c>
      <c r="FR204">
        <f t="shared" si="161"/>
        <v>0</v>
      </c>
      <c r="FS204">
        <v>0</v>
      </c>
      <c r="FX204">
        <v>147</v>
      </c>
      <c r="FY204">
        <v>134</v>
      </c>
      <c r="GA204" t="s">
        <v>3</v>
      </c>
      <c r="GD204">
        <v>1</v>
      </c>
      <c r="GF204">
        <v>1244474433</v>
      </c>
      <c r="GG204">
        <v>2</v>
      </c>
      <c r="GH204">
        <v>1</v>
      </c>
      <c r="GI204">
        <v>4</v>
      </c>
      <c r="GJ204">
        <v>0</v>
      </c>
      <c r="GK204">
        <v>0</v>
      </c>
      <c r="GL204">
        <f t="shared" si="162"/>
        <v>0</v>
      </c>
      <c r="GM204">
        <f t="shared" si="163"/>
        <v>44.19</v>
      </c>
      <c r="GN204">
        <f t="shared" si="164"/>
        <v>44.19</v>
      </c>
      <c r="GO204">
        <f t="shared" si="165"/>
        <v>0</v>
      </c>
      <c r="GP204">
        <f t="shared" si="166"/>
        <v>0</v>
      </c>
      <c r="GR204">
        <v>0</v>
      </c>
      <c r="GS204">
        <v>3</v>
      </c>
      <c r="GT204">
        <v>0</v>
      </c>
      <c r="GU204" t="s">
        <v>3</v>
      </c>
      <c r="GV204">
        <f t="shared" si="167"/>
        <v>0</v>
      </c>
      <c r="GW204">
        <v>1</v>
      </c>
      <c r="GX204">
        <f t="shared" si="168"/>
        <v>0</v>
      </c>
      <c r="HA204">
        <v>0</v>
      </c>
      <c r="HB204">
        <v>0</v>
      </c>
      <c r="HC204">
        <f t="shared" si="169"/>
        <v>0</v>
      </c>
      <c r="HE204" t="s">
        <v>3</v>
      </c>
      <c r="HF204" t="s">
        <v>3</v>
      </c>
      <c r="HI204">
        <f t="shared" si="170"/>
        <v>4.92</v>
      </c>
      <c r="HJ204">
        <f t="shared" si="171"/>
        <v>0</v>
      </c>
      <c r="HK204">
        <f t="shared" si="172"/>
        <v>7.23</v>
      </c>
      <c r="HL204">
        <f t="shared" si="173"/>
        <v>6.59</v>
      </c>
      <c r="HM204" t="s">
        <v>3</v>
      </c>
      <c r="HN204" t="s">
        <v>256</v>
      </c>
      <c r="HO204" t="s">
        <v>257</v>
      </c>
      <c r="HP204" t="s">
        <v>253</v>
      </c>
      <c r="HQ204" t="s">
        <v>253</v>
      </c>
      <c r="IK204">
        <v>0</v>
      </c>
    </row>
    <row r="205" spans="1:245">
      <c r="A205">
        <v>17</v>
      </c>
      <c r="B205">
        <v>1</v>
      </c>
      <c r="E205" t="s">
        <v>324</v>
      </c>
      <c r="F205" t="s">
        <v>315</v>
      </c>
      <c r="G205" t="s">
        <v>325</v>
      </c>
      <c r="H205" t="s">
        <v>326</v>
      </c>
      <c r="I205">
        <f>ROUND(34.5*0.0005,7)</f>
        <v>1.7250000000000001E-2</v>
      </c>
      <c r="J205">
        <v>0</v>
      </c>
      <c r="K205">
        <f>ROUND(34.5*0.0005,7)</f>
        <v>1.7250000000000001E-2</v>
      </c>
      <c r="O205">
        <f t="shared" si="135"/>
        <v>97.7</v>
      </c>
      <c r="P205">
        <f>ROUND(ROUND(CQ205*I205,2)/BC205,2)</f>
        <v>97.7</v>
      </c>
      <c r="Q205">
        <f t="shared" si="137"/>
        <v>0</v>
      </c>
      <c r="R205">
        <f t="shared" si="138"/>
        <v>0</v>
      </c>
      <c r="S205">
        <f t="shared" si="139"/>
        <v>0</v>
      </c>
      <c r="T205">
        <f t="shared" si="140"/>
        <v>0</v>
      </c>
      <c r="U205">
        <f t="shared" si="141"/>
        <v>0</v>
      </c>
      <c r="V205">
        <f t="shared" si="142"/>
        <v>0</v>
      </c>
      <c r="W205">
        <f t="shared" si="143"/>
        <v>0</v>
      </c>
      <c r="X205">
        <f t="shared" si="144"/>
        <v>0</v>
      </c>
      <c r="Y205">
        <f t="shared" si="145"/>
        <v>0</v>
      </c>
      <c r="AA205">
        <v>47920234</v>
      </c>
      <c r="AB205">
        <f t="shared" si="146"/>
        <v>29166.67</v>
      </c>
      <c r="AC205">
        <f t="shared" si="176"/>
        <v>29166.67</v>
      </c>
      <c r="AD205">
        <f>ROUND((((ET205)-(EU205))+AE205),2)</f>
        <v>0</v>
      </c>
      <c r="AE205">
        <f>ROUND((EU205),2)</f>
        <v>0</v>
      </c>
      <c r="AF205">
        <f>ROUND((EV205),2)</f>
        <v>0</v>
      </c>
      <c r="AG205">
        <f t="shared" si="148"/>
        <v>0</v>
      </c>
      <c r="AH205">
        <f>(EW205)</f>
        <v>0</v>
      </c>
      <c r="AI205">
        <f>(EX205)</f>
        <v>0</v>
      </c>
      <c r="AJ205">
        <f t="shared" si="149"/>
        <v>0</v>
      </c>
      <c r="AK205">
        <v>29166.67</v>
      </c>
      <c r="AL205">
        <v>29166.67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1</v>
      </c>
      <c r="AW205">
        <v>1</v>
      </c>
      <c r="AZ205">
        <v>1</v>
      </c>
      <c r="BA205">
        <v>1</v>
      </c>
      <c r="BB205">
        <v>1</v>
      </c>
      <c r="BC205">
        <v>5.15</v>
      </c>
      <c r="BD205" t="s">
        <v>3</v>
      </c>
      <c r="BE205" t="s">
        <v>3</v>
      </c>
      <c r="BF205" t="s">
        <v>3</v>
      </c>
      <c r="BG205" t="s">
        <v>3</v>
      </c>
      <c r="BH205">
        <v>3</v>
      </c>
      <c r="BI205">
        <v>2</v>
      </c>
      <c r="BJ205" t="s">
        <v>315</v>
      </c>
      <c r="BM205">
        <v>500004</v>
      </c>
      <c r="BN205">
        <v>0</v>
      </c>
      <c r="BO205" t="s">
        <v>3</v>
      </c>
      <c r="BP205">
        <v>0</v>
      </c>
      <c r="BQ205">
        <v>14</v>
      </c>
      <c r="BR205">
        <v>0</v>
      </c>
      <c r="BS205">
        <v>1</v>
      </c>
      <c r="BT205">
        <v>1</v>
      </c>
      <c r="BU205">
        <v>1</v>
      </c>
      <c r="BV205">
        <v>1</v>
      </c>
      <c r="BW205">
        <v>1</v>
      </c>
      <c r="BX205">
        <v>1</v>
      </c>
      <c r="BY205" t="s">
        <v>3</v>
      </c>
      <c r="BZ205">
        <v>0</v>
      </c>
      <c r="CA205">
        <v>0</v>
      </c>
      <c r="CB205" t="s">
        <v>3</v>
      </c>
      <c r="CE205">
        <v>0</v>
      </c>
      <c r="CF205">
        <v>0</v>
      </c>
      <c r="CG205">
        <v>0</v>
      </c>
      <c r="CM205">
        <v>0</v>
      </c>
      <c r="CN205" t="s">
        <v>3</v>
      </c>
      <c r="CO205">
        <v>0</v>
      </c>
      <c r="CP205">
        <f t="shared" si="150"/>
        <v>97.7</v>
      </c>
      <c r="CQ205">
        <f>AC205</f>
        <v>29166.67</v>
      </c>
      <c r="CR205">
        <f t="shared" si="152"/>
        <v>0</v>
      </c>
      <c r="CS205">
        <f t="shared" si="153"/>
        <v>0</v>
      </c>
      <c r="CT205">
        <f t="shared" si="154"/>
        <v>0</v>
      </c>
      <c r="CU205">
        <f t="shared" si="155"/>
        <v>0</v>
      </c>
      <c r="CV205">
        <f t="shared" si="156"/>
        <v>0</v>
      </c>
      <c r="CW205">
        <f t="shared" si="157"/>
        <v>0</v>
      </c>
      <c r="CX205">
        <f t="shared" si="158"/>
        <v>0</v>
      </c>
      <c r="CY205">
        <f t="shared" si="159"/>
        <v>0</v>
      </c>
      <c r="CZ205">
        <f t="shared" si="160"/>
        <v>0</v>
      </c>
      <c r="DC205" t="s">
        <v>3</v>
      </c>
      <c r="DD205" t="s">
        <v>3</v>
      </c>
      <c r="DE205" t="s">
        <v>3</v>
      </c>
      <c r="DF205" t="s">
        <v>3</v>
      </c>
      <c r="DG205" t="s">
        <v>3</v>
      </c>
      <c r="DH205" t="s">
        <v>3</v>
      </c>
      <c r="DI205" t="s">
        <v>3</v>
      </c>
      <c r="DJ205" t="s">
        <v>3</v>
      </c>
      <c r="DK205" t="s">
        <v>3</v>
      </c>
      <c r="DL205" t="s">
        <v>3</v>
      </c>
      <c r="DM205" t="s">
        <v>3</v>
      </c>
      <c r="DN205">
        <v>0</v>
      </c>
      <c r="DO205">
        <v>0</v>
      </c>
      <c r="DP205">
        <v>1</v>
      </c>
      <c r="DQ205">
        <v>1</v>
      </c>
      <c r="DU205">
        <v>1013</v>
      </c>
      <c r="DV205" t="s">
        <v>326</v>
      </c>
      <c r="DW205" t="s">
        <v>326</v>
      </c>
      <c r="DX205">
        <v>1</v>
      </c>
      <c r="DZ205" t="s">
        <v>3</v>
      </c>
      <c r="EA205" t="s">
        <v>3</v>
      </c>
      <c r="EB205" t="s">
        <v>3</v>
      </c>
      <c r="EC205" t="s">
        <v>3</v>
      </c>
      <c r="EE205">
        <v>41328483</v>
      </c>
      <c r="EF205">
        <v>14</v>
      </c>
      <c r="EG205" t="s">
        <v>316</v>
      </c>
      <c r="EH205">
        <v>0</v>
      </c>
      <c r="EI205" t="s">
        <v>3</v>
      </c>
      <c r="EJ205">
        <v>2</v>
      </c>
      <c r="EK205">
        <v>500004</v>
      </c>
      <c r="EL205" t="s">
        <v>317</v>
      </c>
      <c r="EM205" t="s">
        <v>318</v>
      </c>
      <c r="EO205" t="s">
        <v>3</v>
      </c>
      <c r="EQ205">
        <v>2097152</v>
      </c>
      <c r="ER205">
        <v>29166.67</v>
      </c>
      <c r="ES205">
        <v>29166.67</v>
      </c>
      <c r="ET205">
        <v>0</v>
      </c>
      <c r="EU205">
        <v>0</v>
      </c>
      <c r="EV205">
        <v>0</v>
      </c>
      <c r="EW205">
        <v>0</v>
      </c>
      <c r="EX205">
        <v>0</v>
      </c>
      <c r="EY205">
        <v>0</v>
      </c>
      <c r="EZ205">
        <v>5</v>
      </c>
      <c r="FC205">
        <v>1</v>
      </c>
      <c r="FD205">
        <v>18</v>
      </c>
      <c r="FF205">
        <v>35000</v>
      </c>
      <c r="FQ205">
        <v>0</v>
      </c>
      <c r="FR205">
        <f t="shared" si="161"/>
        <v>0</v>
      </c>
      <c r="FS205">
        <v>0</v>
      </c>
      <c r="FX205">
        <v>0</v>
      </c>
      <c r="FY205">
        <v>0</v>
      </c>
      <c r="GA205" t="s">
        <v>327</v>
      </c>
      <c r="GD205">
        <v>1</v>
      </c>
      <c r="GF205">
        <v>-250215934</v>
      </c>
      <c r="GG205">
        <v>2</v>
      </c>
      <c r="GH205">
        <v>3</v>
      </c>
      <c r="GI205">
        <v>4</v>
      </c>
      <c r="GJ205">
        <v>0</v>
      </c>
      <c r="GK205">
        <v>0</v>
      </c>
      <c r="GL205">
        <f t="shared" si="162"/>
        <v>0</v>
      </c>
      <c r="GM205">
        <f t="shared" si="163"/>
        <v>97.7</v>
      </c>
      <c r="GN205">
        <f t="shared" si="164"/>
        <v>0</v>
      </c>
      <c r="GO205">
        <f t="shared" si="165"/>
        <v>97.7</v>
      </c>
      <c r="GP205">
        <f t="shared" si="166"/>
        <v>0</v>
      </c>
      <c r="GR205">
        <v>1</v>
      </c>
      <c r="GS205">
        <v>1</v>
      </c>
      <c r="GT205">
        <v>0</v>
      </c>
      <c r="GU205" t="s">
        <v>3</v>
      </c>
      <c r="GV205">
        <f t="shared" si="167"/>
        <v>0</v>
      </c>
      <c r="GW205">
        <v>1</v>
      </c>
      <c r="GX205">
        <f t="shared" si="168"/>
        <v>0</v>
      </c>
      <c r="HA205">
        <v>0</v>
      </c>
      <c r="HB205">
        <v>0</v>
      </c>
      <c r="HC205">
        <f t="shared" si="169"/>
        <v>0</v>
      </c>
      <c r="HE205" t="s">
        <v>328</v>
      </c>
      <c r="HF205" t="s">
        <v>328</v>
      </c>
      <c r="HG205">
        <f>ROUND(AC205*I205,2)</f>
        <v>503.13</v>
      </c>
      <c r="HI205">
        <f t="shared" si="170"/>
        <v>0</v>
      </c>
      <c r="HJ205">
        <f t="shared" si="171"/>
        <v>0</v>
      </c>
      <c r="HK205">
        <f t="shared" si="172"/>
        <v>0</v>
      </c>
      <c r="HL205">
        <f t="shared" si="173"/>
        <v>0</v>
      </c>
      <c r="HM205" t="s">
        <v>3</v>
      </c>
      <c r="HN205" t="s">
        <v>3</v>
      </c>
      <c r="HO205" t="s">
        <v>3</v>
      </c>
      <c r="HP205" t="s">
        <v>3</v>
      </c>
      <c r="HQ205" t="s">
        <v>3</v>
      </c>
      <c r="IK205">
        <v>0</v>
      </c>
    </row>
    <row r="206" spans="1:245">
      <c r="A206">
        <v>17</v>
      </c>
      <c r="B206">
        <v>1</v>
      </c>
      <c r="C206">
        <f>ROW(SmtRes!A211)</f>
        <v>211</v>
      </c>
      <c r="D206">
        <f>ROW(EtalonRes!A216)</f>
        <v>216</v>
      </c>
      <c r="E206" t="s">
        <v>329</v>
      </c>
      <c r="F206" t="s">
        <v>330</v>
      </c>
      <c r="G206" t="s">
        <v>331</v>
      </c>
      <c r="H206" t="s">
        <v>332</v>
      </c>
      <c r="I206">
        <f>ROUND((0.25*34.5)/100,7)</f>
        <v>8.6249999999999993E-2</v>
      </c>
      <c r="J206">
        <v>0</v>
      </c>
      <c r="K206">
        <f>ROUND((0.25*34.5)/100,7)</f>
        <v>8.6249999999999993E-2</v>
      </c>
      <c r="O206">
        <f t="shared" si="135"/>
        <v>3680.91</v>
      </c>
      <c r="P206">
        <f>ROUND(CQ206*I206,2)</f>
        <v>3286.01</v>
      </c>
      <c r="Q206">
        <f t="shared" si="137"/>
        <v>370.31</v>
      </c>
      <c r="R206">
        <f t="shared" si="138"/>
        <v>34.369999999999997</v>
      </c>
      <c r="S206">
        <f t="shared" si="139"/>
        <v>24.59</v>
      </c>
      <c r="T206">
        <f t="shared" si="140"/>
        <v>0</v>
      </c>
      <c r="U206">
        <f t="shared" si="141"/>
        <v>2.5911742499999995</v>
      </c>
      <c r="V206">
        <f t="shared" si="142"/>
        <v>2.5590374999999996</v>
      </c>
      <c r="W206">
        <f t="shared" si="143"/>
        <v>0</v>
      </c>
      <c r="X206">
        <f t="shared" si="144"/>
        <v>86.67</v>
      </c>
      <c r="Y206">
        <f t="shared" si="145"/>
        <v>56.01</v>
      </c>
      <c r="AA206">
        <v>47920234</v>
      </c>
      <c r="AB206">
        <f t="shared" si="146"/>
        <v>42677.18</v>
      </c>
      <c r="AC206">
        <f t="shared" si="176"/>
        <v>38098.639999999999</v>
      </c>
      <c r="AD206">
        <f>ROUND(((((ET206*ROUND((1.2*1.15),7)))-((EU206*ROUND((1.2*1.15),7))))+AE206),2)</f>
        <v>4293.43</v>
      </c>
      <c r="AE206">
        <f>ROUND(((EU206*ROUND((1.2*1.15),7))),2)</f>
        <v>398.48</v>
      </c>
      <c r="AF206">
        <f>ROUND(((EV206*ROUND((1.2*1.15),7))),2)</f>
        <v>285.11</v>
      </c>
      <c r="AG206">
        <f t="shared" si="148"/>
        <v>0</v>
      </c>
      <c r="AH206">
        <f>((EW206*ROUND((1.2*1.15),7)))</f>
        <v>30.042599999999997</v>
      </c>
      <c r="AI206">
        <f>((EX206*ROUND((1.2*1.15),7)))</f>
        <v>29.669999999999998</v>
      </c>
      <c r="AJ206">
        <f t="shared" si="149"/>
        <v>0</v>
      </c>
      <c r="AK206">
        <v>41416.42</v>
      </c>
      <c r="AL206">
        <v>38098.639999999999</v>
      </c>
      <c r="AM206">
        <v>3111.18</v>
      </c>
      <c r="AN206">
        <v>288.75</v>
      </c>
      <c r="AO206">
        <v>206.6</v>
      </c>
      <c r="AP206">
        <v>0</v>
      </c>
      <c r="AQ206">
        <v>21.77</v>
      </c>
      <c r="AR206">
        <v>21.5</v>
      </c>
      <c r="AS206">
        <v>0</v>
      </c>
      <c r="AT206">
        <v>147</v>
      </c>
      <c r="AU206">
        <v>95</v>
      </c>
      <c r="AV206">
        <v>1</v>
      </c>
      <c r="AW206">
        <v>1</v>
      </c>
      <c r="AZ206">
        <v>1</v>
      </c>
      <c r="BA206">
        <v>28.93</v>
      </c>
      <c r="BB206">
        <v>1</v>
      </c>
      <c r="BC206">
        <v>1</v>
      </c>
      <c r="BD206" t="s">
        <v>3</v>
      </c>
      <c r="BE206" t="s">
        <v>3</v>
      </c>
      <c r="BF206" t="s">
        <v>3</v>
      </c>
      <c r="BG206" t="s">
        <v>3</v>
      </c>
      <c r="BH206">
        <v>0</v>
      </c>
      <c r="BI206">
        <v>1</v>
      </c>
      <c r="BJ206" t="s">
        <v>333</v>
      </c>
      <c r="BM206">
        <v>27001</v>
      </c>
      <c r="BN206">
        <v>0</v>
      </c>
      <c r="BO206" t="s">
        <v>3</v>
      </c>
      <c r="BP206">
        <v>0</v>
      </c>
      <c r="BQ206">
        <v>2</v>
      </c>
      <c r="BR206">
        <v>0</v>
      </c>
      <c r="BS206">
        <v>28.93</v>
      </c>
      <c r="BT206">
        <v>1</v>
      </c>
      <c r="BU206">
        <v>1</v>
      </c>
      <c r="BV206">
        <v>1</v>
      </c>
      <c r="BW206">
        <v>1</v>
      </c>
      <c r="BX206">
        <v>1</v>
      </c>
      <c r="BY206" t="s">
        <v>3</v>
      </c>
      <c r="BZ206">
        <v>147</v>
      </c>
      <c r="CA206">
        <v>95</v>
      </c>
      <c r="CB206" t="s">
        <v>3</v>
      </c>
      <c r="CE206">
        <v>0</v>
      </c>
      <c r="CF206">
        <v>0</v>
      </c>
      <c r="CG206">
        <v>0</v>
      </c>
      <c r="CM206">
        <v>0</v>
      </c>
      <c r="CN206" t="s">
        <v>3</v>
      </c>
      <c r="CO206">
        <v>0</v>
      </c>
      <c r="CP206">
        <f t="shared" si="150"/>
        <v>3680.9100000000003</v>
      </c>
      <c r="CQ206">
        <f>AC206*BC206</f>
        <v>38098.639999999999</v>
      </c>
      <c r="CR206">
        <f t="shared" si="152"/>
        <v>4293.43</v>
      </c>
      <c r="CS206">
        <f t="shared" si="153"/>
        <v>398.48</v>
      </c>
      <c r="CT206">
        <f t="shared" si="154"/>
        <v>285.11</v>
      </c>
      <c r="CU206">
        <f t="shared" si="155"/>
        <v>0</v>
      </c>
      <c r="CV206">
        <f t="shared" si="156"/>
        <v>30.042599999999997</v>
      </c>
      <c r="CW206">
        <f t="shared" si="157"/>
        <v>29.669999999999998</v>
      </c>
      <c r="CX206">
        <f t="shared" si="158"/>
        <v>0</v>
      </c>
      <c r="CY206">
        <f t="shared" si="159"/>
        <v>86.671199999999985</v>
      </c>
      <c r="CZ206">
        <f t="shared" si="160"/>
        <v>56.012</v>
      </c>
      <c r="DC206" t="s">
        <v>3</v>
      </c>
      <c r="DD206" t="s">
        <v>3</v>
      </c>
      <c r="DE206" t="s">
        <v>20</v>
      </c>
      <c r="DF206" t="s">
        <v>20</v>
      </c>
      <c r="DG206" t="s">
        <v>20</v>
      </c>
      <c r="DH206" t="s">
        <v>3</v>
      </c>
      <c r="DI206" t="s">
        <v>20</v>
      </c>
      <c r="DJ206" t="s">
        <v>20</v>
      </c>
      <c r="DK206" t="s">
        <v>3</v>
      </c>
      <c r="DL206" t="s">
        <v>3</v>
      </c>
      <c r="DM206" t="s">
        <v>3</v>
      </c>
      <c r="DN206">
        <v>0</v>
      </c>
      <c r="DO206">
        <v>0</v>
      </c>
      <c r="DP206">
        <v>1</v>
      </c>
      <c r="DQ206">
        <v>1</v>
      </c>
      <c r="DU206">
        <v>1013</v>
      </c>
      <c r="DV206" t="s">
        <v>332</v>
      </c>
      <c r="DW206" t="s">
        <v>332</v>
      </c>
      <c r="DX206">
        <v>1</v>
      </c>
      <c r="DZ206" t="s">
        <v>3</v>
      </c>
      <c r="EA206" t="s">
        <v>3</v>
      </c>
      <c r="EB206" t="s">
        <v>3</v>
      </c>
      <c r="EC206" t="s">
        <v>3</v>
      </c>
      <c r="EE206">
        <v>41328329</v>
      </c>
      <c r="EF206">
        <v>2</v>
      </c>
      <c r="EG206" t="s">
        <v>21</v>
      </c>
      <c r="EH206">
        <v>21</v>
      </c>
      <c r="EI206" t="s">
        <v>253</v>
      </c>
      <c r="EJ206">
        <v>1</v>
      </c>
      <c r="EK206">
        <v>27001</v>
      </c>
      <c r="EL206" t="s">
        <v>253</v>
      </c>
      <c r="EM206" t="s">
        <v>255</v>
      </c>
      <c r="EO206" t="s">
        <v>3</v>
      </c>
      <c r="EQ206">
        <v>0</v>
      </c>
      <c r="ER206">
        <v>41416.42</v>
      </c>
      <c r="ES206">
        <v>38098.639999999999</v>
      </c>
      <c r="ET206">
        <v>3111.18</v>
      </c>
      <c r="EU206">
        <v>288.75</v>
      </c>
      <c r="EV206">
        <v>206.6</v>
      </c>
      <c r="EW206">
        <v>21.77</v>
      </c>
      <c r="EX206">
        <v>21.5</v>
      </c>
      <c r="EY206">
        <v>0</v>
      </c>
      <c r="FQ206">
        <v>0</v>
      </c>
      <c r="FR206">
        <f t="shared" si="161"/>
        <v>0</v>
      </c>
      <c r="FS206">
        <v>0</v>
      </c>
      <c r="FX206">
        <v>147</v>
      </c>
      <c r="FY206">
        <v>95</v>
      </c>
      <c r="GA206" t="s">
        <v>3</v>
      </c>
      <c r="GD206">
        <v>1</v>
      </c>
      <c r="GF206">
        <v>649727521</v>
      </c>
      <c r="GG206">
        <v>2</v>
      </c>
      <c r="GH206">
        <v>1</v>
      </c>
      <c r="GI206">
        <v>4</v>
      </c>
      <c r="GJ206">
        <v>0</v>
      </c>
      <c r="GK206">
        <v>0</v>
      </c>
      <c r="GL206">
        <f t="shared" si="162"/>
        <v>0</v>
      </c>
      <c r="GM206">
        <f t="shared" si="163"/>
        <v>3823.59</v>
      </c>
      <c r="GN206">
        <f t="shared" si="164"/>
        <v>3823.59</v>
      </c>
      <c r="GO206">
        <f t="shared" si="165"/>
        <v>0</v>
      </c>
      <c r="GP206">
        <f t="shared" si="166"/>
        <v>0</v>
      </c>
      <c r="GR206">
        <v>0</v>
      </c>
      <c r="GS206">
        <v>3</v>
      </c>
      <c r="GT206">
        <v>0</v>
      </c>
      <c r="GU206" t="s">
        <v>3</v>
      </c>
      <c r="GV206">
        <f t="shared" si="167"/>
        <v>0</v>
      </c>
      <c r="GW206">
        <v>1</v>
      </c>
      <c r="GX206">
        <f t="shared" si="168"/>
        <v>0</v>
      </c>
      <c r="HA206">
        <v>0</v>
      </c>
      <c r="HB206">
        <v>0</v>
      </c>
      <c r="HC206">
        <f t="shared" si="169"/>
        <v>0</v>
      </c>
      <c r="HE206" t="s">
        <v>3</v>
      </c>
      <c r="HF206" t="s">
        <v>3</v>
      </c>
      <c r="HI206">
        <f t="shared" si="170"/>
        <v>994.32</v>
      </c>
      <c r="HJ206">
        <f t="shared" si="171"/>
        <v>711.39</v>
      </c>
      <c r="HK206">
        <f t="shared" si="172"/>
        <v>2507.39</v>
      </c>
      <c r="HL206">
        <f t="shared" si="173"/>
        <v>1620.42</v>
      </c>
      <c r="HM206" t="s">
        <v>3</v>
      </c>
      <c r="HN206" t="s">
        <v>256</v>
      </c>
      <c r="HO206" t="s">
        <v>257</v>
      </c>
      <c r="HP206" t="s">
        <v>253</v>
      </c>
      <c r="HQ206" t="s">
        <v>253</v>
      </c>
      <c r="IK206">
        <v>0</v>
      </c>
    </row>
    <row r="207" spans="1:245">
      <c r="A207">
        <v>18</v>
      </c>
      <c r="B207">
        <v>1</v>
      </c>
      <c r="C207">
        <v>211</v>
      </c>
      <c r="E207" t="s">
        <v>334</v>
      </c>
      <c r="F207" t="s">
        <v>335</v>
      </c>
      <c r="G207" t="s">
        <v>336</v>
      </c>
      <c r="H207" t="s">
        <v>337</v>
      </c>
      <c r="I207">
        <f>I206*J207</f>
        <v>-8.7112499999999997</v>
      </c>
      <c r="J207">
        <v>-101</v>
      </c>
      <c r="K207">
        <v>-101</v>
      </c>
      <c r="O207">
        <f t="shared" si="135"/>
        <v>-3269.51</v>
      </c>
      <c r="P207">
        <f>ROUND(CQ207*I207,2)</f>
        <v>-3269.51</v>
      </c>
      <c r="Q207">
        <f t="shared" si="137"/>
        <v>0</v>
      </c>
      <c r="R207">
        <f t="shared" si="138"/>
        <v>0</v>
      </c>
      <c r="S207">
        <f t="shared" si="139"/>
        <v>0</v>
      </c>
      <c r="T207">
        <f t="shared" si="140"/>
        <v>0</v>
      </c>
      <c r="U207">
        <f t="shared" si="141"/>
        <v>0</v>
      </c>
      <c r="V207">
        <f t="shared" si="142"/>
        <v>0</v>
      </c>
      <c r="W207">
        <f t="shared" si="143"/>
        <v>0</v>
      </c>
      <c r="X207">
        <f t="shared" si="144"/>
        <v>0</v>
      </c>
      <c r="Y207">
        <f t="shared" si="145"/>
        <v>0</v>
      </c>
      <c r="AA207">
        <v>47920234</v>
      </c>
      <c r="AB207">
        <f t="shared" si="146"/>
        <v>375.32</v>
      </c>
      <c r="AC207">
        <f t="shared" si="176"/>
        <v>375.32</v>
      </c>
      <c r="AD207">
        <f>ROUND((((ET207)-(EU207))+AE207),2)</f>
        <v>0</v>
      </c>
      <c r="AE207">
        <f>ROUND((EU207),2)</f>
        <v>0</v>
      </c>
      <c r="AF207">
        <f>ROUND((EV207),2)</f>
        <v>0</v>
      </c>
      <c r="AG207">
        <f t="shared" si="148"/>
        <v>0</v>
      </c>
      <c r="AH207">
        <f>(EW207)</f>
        <v>0</v>
      </c>
      <c r="AI207">
        <f>(EX207)</f>
        <v>0</v>
      </c>
      <c r="AJ207">
        <f t="shared" si="149"/>
        <v>0</v>
      </c>
      <c r="AK207">
        <v>375.32</v>
      </c>
      <c r="AL207">
        <v>375.32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1</v>
      </c>
      <c r="AW207">
        <v>1</v>
      </c>
      <c r="AZ207">
        <v>1</v>
      </c>
      <c r="BA207">
        <v>1</v>
      </c>
      <c r="BB207">
        <v>1</v>
      </c>
      <c r="BC207">
        <v>1</v>
      </c>
      <c r="BD207" t="s">
        <v>3</v>
      </c>
      <c r="BE207" t="s">
        <v>3</v>
      </c>
      <c r="BF207" t="s">
        <v>3</v>
      </c>
      <c r="BG207" t="s">
        <v>3</v>
      </c>
      <c r="BH207">
        <v>3</v>
      </c>
      <c r="BI207">
        <v>1</v>
      </c>
      <c r="BJ207" t="s">
        <v>338</v>
      </c>
      <c r="BM207">
        <v>500001</v>
      </c>
      <c r="BN207">
        <v>0</v>
      </c>
      <c r="BO207" t="s">
        <v>3</v>
      </c>
      <c r="BP207">
        <v>0</v>
      </c>
      <c r="BQ207">
        <v>8</v>
      </c>
      <c r="BR207">
        <v>1</v>
      </c>
      <c r="BS207">
        <v>1</v>
      </c>
      <c r="BT207">
        <v>1</v>
      </c>
      <c r="BU207">
        <v>1</v>
      </c>
      <c r="BV207">
        <v>1</v>
      </c>
      <c r="BW207">
        <v>1</v>
      </c>
      <c r="BX207">
        <v>1</v>
      </c>
      <c r="BY207" t="s">
        <v>3</v>
      </c>
      <c r="BZ207">
        <v>0</v>
      </c>
      <c r="CA207">
        <v>0</v>
      </c>
      <c r="CB207" t="s">
        <v>3</v>
      </c>
      <c r="CE207">
        <v>0</v>
      </c>
      <c r="CF207">
        <v>0</v>
      </c>
      <c r="CG207">
        <v>0</v>
      </c>
      <c r="CM207">
        <v>0</v>
      </c>
      <c r="CN207" t="s">
        <v>3</v>
      </c>
      <c r="CO207">
        <v>0</v>
      </c>
      <c r="CP207">
        <f t="shared" si="150"/>
        <v>-3269.51</v>
      </c>
      <c r="CQ207">
        <f>AC207*BC207</f>
        <v>375.32</v>
      </c>
      <c r="CR207">
        <f t="shared" si="152"/>
        <v>0</v>
      </c>
      <c r="CS207">
        <f t="shared" si="153"/>
        <v>0</v>
      </c>
      <c r="CT207">
        <f t="shared" si="154"/>
        <v>0</v>
      </c>
      <c r="CU207">
        <f t="shared" si="155"/>
        <v>0</v>
      </c>
      <c r="CV207">
        <f t="shared" si="156"/>
        <v>0</v>
      </c>
      <c r="CW207">
        <f t="shared" si="157"/>
        <v>0</v>
      </c>
      <c r="CX207">
        <f t="shared" si="158"/>
        <v>0</v>
      </c>
      <c r="CY207">
        <f t="shared" si="159"/>
        <v>0</v>
      </c>
      <c r="CZ207">
        <f t="shared" si="160"/>
        <v>0</v>
      </c>
      <c r="DC207" t="s">
        <v>3</v>
      </c>
      <c r="DD207" t="s">
        <v>3</v>
      </c>
      <c r="DE207" t="s">
        <v>3</v>
      </c>
      <c r="DF207" t="s">
        <v>3</v>
      </c>
      <c r="DG207" t="s">
        <v>3</v>
      </c>
      <c r="DH207" t="s">
        <v>3</v>
      </c>
      <c r="DI207" t="s">
        <v>3</v>
      </c>
      <c r="DJ207" t="s">
        <v>3</v>
      </c>
      <c r="DK207" t="s">
        <v>3</v>
      </c>
      <c r="DL207" t="s">
        <v>3</v>
      </c>
      <c r="DM207" t="s">
        <v>3</v>
      </c>
      <c r="DN207">
        <v>0</v>
      </c>
      <c r="DO207">
        <v>0</v>
      </c>
      <c r="DP207">
        <v>1</v>
      </c>
      <c r="DQ207">
        <v>1</v>
      </c>
      <c r="DU207">
        <v>1009</v>
      </c>
      <c r="DV207" t="s">
        <v>337</v>
      </c>
      <c r="DW207" t="s">
        <v>337</v>
      </c>
      <c r="DX207">
        <v>1000</v>
      </c>
      <c r="DZ207" t="s">
        <v>3</v>
      </c>
      <c r="EA207" t="s">
        <v>3</v>
      </c>
      <c r="EB207" t="s">
        <v>3</v>
      </c>
      <c r="EC207" t="s">
        <v>3</v>
      </c>
      <c r="EE207">
        <v>41328221</v>
      </c>
      <c r="EF207">
        <v>8</v>
      </c>
      <c r="EG207" t="s">
        <v>300</v>
      </c>
      <c r="EH207">
        <v>0</v>
      </c>
      <c r="EI207" t="s">
        <v>3</v>
      </c>
      <c r="EJ207">
        <v>1</v>
      </c>
      <c r="EK207">
        <v>500001</v>
      </c>
      <c r="EL207" t="s">
        <v>301</v>
      </c>
      <c r="EM207" t="s">
        <v>302</v>
      </c>
      <c r="EO207" t="s">
        <v>3</v>
      </c>
      <c r="EQ207">
        <v>32768</v>
      </c>
      <c r="ER207">
        <v>375.32</v>
      </c>
      <c r="ES207">
        <v>375.32</v>
      </c>
      <c r="ET207">
        <v>0</v>
      </c>
      <c r="EU207">
        <v>0</v>
      </c>
      <c r="EV207">
        <v>0</v>
      </c>
      <c r="EW207">
        <v>0</v>
      </c>
      <c r="EX207">
        <v>0</v>
      </c>
      <c r="FQ207">
        <v>0</v>
      </c>
      <c r="FR207">
        <f t="shared" si="161"/>
        <v>0</v>
      </c>
      <c r="FS207">
        <v>0</v>
      </c>
      <c r="FX207">
        <v>0</v>
      </c>
      <c r="FY207">
        <v>0</v>
      </c>
      <c r="GA207" t="s">
        <v>3</v>
      </c>
      <c r="GD207">
        <v>1</v>
      </c>
      <c r="GF207">
        <v>463314004</v>
      </c>
      <c r="GG207">
        <v>2</v>
      </c>
      <c r="GH207">
        <v>1</v>
      </c>
      <c r="GI207">
        <v>4</v>
      </c>
      <c r="GJ207">
        <v>0</v>
      </c>
      <c r="GK207">
        <v>0</v>
      </c>
      <c r="GL207">
        <f t="shared" si="162"/>
        <v>0</v>
      </c>
      <c r="GM207">
        <f t="shared" si="163"/>
        <v>-3269.51</v>
      </c>
      <c r="GN207">
        <f t="shared" si="164"/>
        <v>-3269.51</v>
      </c>
      <c r="GO207">
        <f t="shared" si="165"/>
        <v>0</v>
      </c>
      <c r="GP207">
        <f t="shared" si="166"/>
        <v>0</v>
      </c>
      <c r="GR207">
        <v>0</v>
      </c>
      <c r="GS207">
        <v>3</v>
      </c>
      <c r="GT207">
        <v>0</v>
      </c>
      <c r="GU207" t="s">
        <v>3</v>
      </c>
      <c r="GV207">
        <f t="shared" si="167"/>
        <v>0</v>
      </c>
      <c r="GW207">
        <v>1</v>
      </c>
      <c r="GX207">
        <f t="shared" si="168"/>
        <v>0</v>
      </c>
      <c r="HA207">
        <v>0</v>
      </c>
      <c r="HB207">
        <v>0</v>
      </c>
      <c r="HC207">
        <f t="shared" si="169"/>
        <v>0</v>
      </c>
      <c r="HE207" t="s">
        <v>3</v>
      </c>
      <c r="HF207" t="s">
        <v>3</v>
      </c>
      <c r="HI207">
        <f t="shared" si="170"/>
        <v>0</v>
      </c>
      <c r="HJ207">
        <f t="shared" si="171"/>
        <v>0</v>
      </c>
      <c r="HK207">
        <f t="shared" si="172"/>
        <v>0</v>
      </c>
      <c r="HL207">
        <f t="shared" si="173"/>
        <v>0</v>
      </c>
      <c r="HM207" t="s">
        <v>3</v>
      </c>
      <c r="HN207" t="s">
        <v>3</v>
      </c>
      <c r="HO207" t="s">
        <v>3</v>
      </c>
      <c r="HP207" t="s">
        <v>3</v>
      </c>
      <c r="HQ207" t="s">
        <v>3</v>
      </c>
      <c r="IK207">
        <v>0</v>
      </c>
    </row>
    <row r="208" spans="1:245">
      <c r="A208">
        <v>17</v>
      </c>
      <c r="B208">
        <v>1</v>
      </c>
      <c r="C208">
        <f>ROW(SmtRes!A235)</f>
        <v>235</v>
      </c>
      <c r="D208">
        <f>ROW(EtalonRes!A240)</f>
        <v>240</v>
      </c>
      <c r="E208" t="s">
        <v>339</v>
      </c>
      <c r="F208" t="s">
        <v>340</v>
      </c>
      <c r="G208" t="s">
        <v>341</v>
      </c>
      <c r="H208" t="s">
        <v>342</v>
      </c>
      <c r="I208">
        <f>ROUND(34.5/1000,7)</f>
        <v>3.4500000000000003E-2</v>
      </c>
      <c r="J208">
        <v>0</v>
      </c>
      <c r="K208">
        <f>ROUND(34.5/1000,7)</f>
        <v>3.4500000000000003E-2</v>
      </c>
      <c r="O208">
        <f t="shared" si="135"/>
        <v>2548.5500000000002</v>
      </c>
      <c r="P208">
        <f>ROUND(CQ208*I208,2)</f>
        <v>2125.7600000000002</v>
      </c>
      <c r="Q208">
        <f t="shared" si="137"/>
        <v>414.35</v>
      </c>
      <c r="R208">
        <f t="shared" si="138"/>
        <v>11.06</v>
      </c>
      <c r="S208">
        <f t="shared" si="139"/>
        <v>8.44</v>
      </c>
      <c r="T208">
        <f t="shared" si="140"/>
        <v>0</v>
      </c>
      <c r="U208">
        <f t="shared" si="141"/>
        <v>0.99314459999999993</v>
      </c>
      <c r="V208">
        <f t="shared" si="142"/>
        <v>0.89744850000000009</v>
      </c>
      <c r="W208">
        <f t="shared" si="143"/>
        <v>0</v>
      </c>
      <c r="X208">
        <f t="shared" si="144"/>
        <v>28.67</v>
      </c>
      <c r="Y208">
        <f t="shared" si="145"/>
        <v>26.13</v>
      </c>
      <c r="AA208">
        <v>47920234</v>
      </c>
      <c r="AB208">
        <f t="shared" si="146"/>
        <v>73871.22</v>
      </c>
      <c r="AC208">
        <f t="shared" si="176"/>
        <v>61616.35</v>
      </c>
      <c r="AD208">
        <f>ROUND(((((ET208*ROUND((1.2*1.15),7)))-((EU208*ROUND((1.2*1.15),7))))+AE208),2)</f>
        <v>12010.18</v>
      </c>
      <c r="AE208">
        <f>ROUND(((EU208*ROUND((1.2*1.15),7))),2)</f>
        <v>320.68</v>
      </c>
      <c r="AF208">
        <f>ROUND(((EV208*ROUND((1.2*1.15),7))),2)</f>
        <v>244.69</v>
      </c>
      <c r="AG208">
        <f t="shared" si="148"/>
        <v>0</v>
      </c>
      <c r="AH208">
        <f>((EW208*ROUND((1.2*1.15),7)))</f>
        <v>28.786799999999996</v>
      </c>
      <c r="AI208">
        <f>((EX208*ROUND((1.2*1.15),7)))</f>
        <v>26.013000000000002</v>
      </c>
      <c r="AJ208">
        <f t="shared" si="149"/>
        <v>0</v>
      </c>
      <c r="AK208">
        <v>70496.69</v>
      </c>
      <c r="AL208">
        <v>61616.35</v>
      </c>
      <c r="AM208">
        <v>8703.0300000000007</v>
      </c>
      <c r="AN208">
        <v>232.38</v>
      </c>
      <c r="AO208">
        <v>177.31</v>
      </c>
      <c r="AP208">
        <v>0</v>
      </c>
      <c r="AQ208">
        <v>20.86</v>
      </c>
      <c r="AR208">
        <v>18.850000000000001</v>
      </c>
      <c r="AS208">
        <v>0</v>
      </c>
      <c r="AT208">
        <v>147</v>
      </c>
      <c r="AU208">
        <v>134</v>
      </c>
      <c r="AV208">
        <v>1</v>
      </c>
      <c r="AW208">
        <v>1</v>
      </c>
      <c r="AZ208">
        <v>1</v>
      </c>
      <c r="BA208">
        <v>28.93</v>
      </c>
      <c r="BB208">
        <v>1</v>
      </c>
      <c r="BC208">
        <v>1</v>
      </c>
      <c r="BD208" t="s">
        <v>3</v>
      </c>
      <c r="BE208" t="s">
        <v>3</v>
      </c>
      <c r="BF208" t="s">
        <v>3</v>
      </c>
      <c r="BG208" t="s">
        <v>3</v>
      </c>
      <c r="BH208">
        <v>0</v>
      </c>
      <c r="BI208">
        <v>1</v>
      </c>
      <c r="BJ208" t="s">
        <v>343</v>
      </c>
      <c r="BM208">
        <v>27001</v>
      </c>
      <c r="BN208">
        <v>0</v>
      </c>
      <c r="BO208" t="s">
        <v>3</v>
      </c>
      <c r="BP208">
        <v>0</v>
      </c>
      <c r="BQ208">
        <v>2</v>
      </c>
      <c r="BR208">
        <v>0</v>
      </c>
      <c r="BS208">
        <v>28.93</v>
      </c>
      <c r="BT208">
        <v>1</v>
      </c>
      <c r="BU208">
        <v>1</v>
      </c>
      <c r="BV208">
        <v>1</v>
      </c>
      <c r="BW208">
        <v>1</v>
      </c>
      <c r="BX208">
        <v>1</v>
      </c>
      <c r="BY208" t="s">
        <v>3</v>
      </c>
      <c r="BZ208">
        <v>147</v>
      </c>
      <c r="CA208">
        <v>134</v>
      </c>
      <c r="CB208" t="s">
        <v>3</v>
      </c>
      <c r="CE208">
        <v>0</v>
      </c>
      <c r="CF208">
        <v>0</v>
      </c>
      <c r="CG208">
        <v>0</v>
      </c>
      <c r="CM208">
        <v>0</v>
      </c>
      <c r="CN208" t="s">
        <v>3</v>
      </c>
      <c r="CO208">
        <v>0</v>
      </c>
      <c r="CP208">
        <f t="shared" si="150"/>
        <v>2548.5500000000002</v>
      </c>
      <c r="CQ208">
        <f>AC208*BC208</f>
        <v>61616.35</v>
      </c>
      <c r="CR208">
        <f t="shared" si="152"/>
        <v>12010.18</v>
      </c>
      <c r="CS208">
        <f t="shared" si="153"/>
        <v>320.68</v>
      </c>
      <c r="CT208">
        <f t="shared" si="154"/>
        <v>244.69</v>
      </c>
      <c r="CU208">
        <f t="shared" si="155"/>
        <v>0</v>
      </c>
      <c r="CV208">
        <f t="shared" si="156"/>
        <v>28.786799999999996</v>
      </c>
      <c r="CW208">
        <f t="shared" si="157"/>
        <v>26.013000000000002</v>
      </c>
      <c r="CX208">
        <f t="shared" si="158"/>
        <v>0</v>
      </c>
      <c r="CY208">
        <f t="shared" si="159"/>
        <v>28.664999999999999</v>
      </c>
      <c r="CZ208">
        <f t="shared" si="160"/>
        <v>26.13</v>
      </c>
      <c r="DC208" t="s">
        <v>3</v>
      </c>
      <c r="DD208" t="s">
        <v>3</v>
      </c>
      <c r="DE208" t="s">
        <v>20</v>
      </c>
      <c r="DF208" t="s">
        <v>20</v>
      </c>
      <c r="DG208" t="s">
        <v>20</v>
      </c>
      <c r="DH208" t="s">
        <v>3</v>
      </c>
      <c r="DI208" t="s">
        <v>20</v>
      </c>
      <c r="DJ208" t="s">
        <v>20</v>
      </c>
      <c r="DK208" t="s">
        <v>3</v>
      </c>
      <c r="DL208" t="s">
        <v>3</v>
      </c>
      <c r="DM208" t="s">
        <v>3</v>
      </c>
      <c r="DN208">
        <v>0</v>
      </c>
      <c r="DO208">
        <v>0</v>
      </c>
      <c r="DP208">
        <v>1</v>
      </c>
      <c r="DQ208">
        <v>1</v>
      </c>
      <c r="DU208">
        <v>1013</v>
      </c>
      <c r="DV208" t="s">
        <v>342</v>
      </c>
      <c r="DW208" t="s">
        <v>342</v>
      </c>
      <c r="DX208">
        <v>1</v>
      </c>
      <c r="DZ208" t="s">
        <v>3</v>
      </c>
      <c r="EA208" t="s">
        <v>3</v>
      </c>
      <c r="EB208" t="s">
        <v>3</v>
      </c>
      <c r="EC208" t="s">
        <v>3</v>
      </c>
      <c r="EE208">
        <v>41328329</v>
      </c>
      <c r="EF208">
        <v>2</v>
      </c>
      <c r="EG208" t="s">
        <v>21</v>
      </c>
      <c r="EH208">
        <v>21</v>
      </c>
      <c r="EI208" t="s">
        <v>253</v>
      </c>
      <c r="EJ208">
        <v>1</v>
      </c>
      <c r="EK208">
        <v>27001</v>
      </c>
      <c r="EL208" t="s">
        <v>253</v>
      </c>
      <c r="EM208" t="s">
        <v>255</v>
      </c>
      <c r="EO208" t="s">
        <v>3</v>
      </c>
      <c r="EQ208">
        <v>0</v>
      </c>
      <c r="ER208">
        <v>70496.69</v>
      </c>
      <c r="ES208">
        <v>61616.35</v>
      </c>
      <c r="ET208">
        <v>8703.0300000000007</v>
      </c>
      <c r="EU208">
        <v>232.38</v>
      </c>
      <c r="EV208">
        <v>177.31</v>
      </c>
      <c r="EW208">
        <v>20.86</v>
      </c>
      <c r="EX208">
        <v>18.850000000000001</v>
      </c>
      <c r="EY208">
        <v>0</v>
      </c>
      <c r="FQ208">
        <v>0</v>
      </c>
      <c r="FR208">
        <f t="shared" si="161"/>
        <v>0</v>
      </c>
      <c r="FS208">
        <v>0</v>
      </c>
      <c r="FX208">
        <v>147</v>
      </c>
      <c r="FY208">
        <v>134</v>
      </c>
      <c r="GA208" t="s">
        <v>3</v>
      </c>
      <c r="GD208">
        <v>1</v>
      </c>
      <c r="GF208">
        <v>-1827503098</v>
      </c>
      <c r="GG208">
        <v>2</v>
      </c>
      <c r="GH208">
        <v>1</v>
      </c>
      <c r="GI208">
        <v>4</v>
      </c>
      <c r="GJ208">
        <v>0</v>
      </c>
      <c r="GK208">
        <v>0</v>
      </c>
      <c r="GL208">
        <f t="shared" si="162"/>
        <v>0</v>
      </c>
      <c r="GM208">
        <f t="shared" si="163"/>
        <v>2603.35</v>
      </c>
      <c r="GN208">
        <f t="shared" si="164"/>
        <v>2603.35</v>
      </c>
      <c r="GO208">
        <f t="shared" si="165"/>
        <v>0</v>
      </c>
      <c r="GP208">
        <f t="shared" si="166"/>
        <v>0</v>
      </c>
      <c r="GR208">
        <v>0</v>
      </c>
      <c r="GS208">
        <v>3</v>
      </c>
      <c r="GT208">
        <v>0</v>
      </c>
      <c r="GU208" t="s">
        <v>3</v>
      </c>
      <c r="GV208">
        <f t="shared" si="167"/>
        <v>0</v>
      </c>
      <c r="GW208">
        <v>1</v>
      </c>
      <c r="GX208">
        <f t="shared" si="168"/>
        <v>0</v>
      </c>
      <c r="HA208">
        <v>0</v>
      </c>
      <c r="HB208">
        <v>0</v>
      </c>
      <c r="HC208">
        <f t="shared" si="169"/>
        <v>0</v>
      </c>
      <c r="HE208" t="s">
        <v>3</v>
      </c>
      <c r="HF208" t="s">
        <v>3</v>
      </c>
      <c r="HI208">
        <f t="shared" si="170"/>
        <v>319.97000000000003</v>
      </c>
      <c r="HJ208">
        <f t="shared" si="171"/>
        <v>244.17</v>
      </c>
      <c r="HK208">
        <f t="shared" si="172"/>
        <v>829.29</v>
      </c>
      <c r="HL208">
        <f t="shared" si="173"/>
        <v>755.95</v>
      </c>
      <c r="HM208" t="s">
        <v>3</v>
      </c>
      <c r="HN208" t="s">
        <v>256</v>
      </c>
      <c r="HO208" t="s">
        <v>257</v>
      </c>
      <c r="HP208" t="s">
        <v>253</v>
      </c>
      <c r="HQ208" t="s">
        <v>253</v>
      </c>
      <c r="IK208">
        <v>0</v>
      </c>
    </row>
    <row r="209" spans="1:245">
      <c r="A209">
        <v>18</v>
      </c>
      <c r="B209">
        <v>1</v>
      </c>
      <c r="C209">
        <v>234</v>
      </c>
      <c r="E209" t="s">
        <v>344</v>
      </c>
      <c r="F209" t="s">
        <v>345</v>
      </c>
      <c r="G209" t="s">
        <v>346</v>
      </c>
      <c r="H209" t="s">
        <v>337</v>
      </c>
      <c r="I209">
        <f>I208*J209</f>
        <v>-3.6314700000000002</v>
      </c>
      <c r="J209">
        <v>-105.25999999999999</v>
      </c>
      <c r="K209">
        <v>-105.26</v>
      </c>
      <c r="O209">
        <f t="shared" si="135"/>
        <v>-1869.95</v>
      </c>
      <c r="P209">
        <f>ROUND(CQ209*I209,2)</f>
        <v>-1869.95</v>
      </c>
      <c r="Q209">
        <f t="shared" si="137"/>
        <v>0</v>
      </c>
      <c r="R209">
        <f t="shared" si="138"/>
        <v>0</v>
      </c>
      <c r="S209">
        <f t="shared" si="139"/>
        <v>0</v>
      </c>
      <c r="T209">
        <f t="shared" si="140"/>
        <v>0</v>
      </c>
      <c r="U209">
        <f t="shared" si="141"/>
        <v>0</v>
      </c>
      <c r="V209">
        <f t="shared" si="142"/>
        <v>0</v>
      </c>
      <c r="W209">
        <f t="shared" si="143"/>
        <v>0</v>
      </c>
      <c r="X209">
        <f t="shared" si="144"/>
        <v>0</v>
      </c>
      <c r="Y209">
        <f t="shared" si="145"/>
        <v>0</v>
      </c>
      <c r="AA209">
        <v>47920234</v>
      </c>
      <c r="AB209">
        <f t="shared" si="146"/>
        <v>514.92999999999995</v>
      </c>
      <c r="AC209">
        <f t="shared" si="176"/>
        <v>514.92999999999995</v>
      </c>
      <c r="AD209">
        <f>ROUND((((ET209)-(EU209))+AE209),2)</f>
        <v>0</v>
      </c>
      <c r="AE209">
        <f>ROUND((EU209),2)</f>
        <v>0</v>
      </c>
      <c r="AF209">
        <f>ROUND((EV209),2)</f>
        <v>0</v>
      </c>
      <c r="AG209">
        <f t="shared" si="148"/>
        <v>0</v>
      </c>
      <c r="AH209">
        <f>(EW209)</f>
        <v>0</v>
      </c>
      <c r="AI209">
        <f>(EX209)</f>
        <v>0</v>
      </c>
      <c r="AJ209">
        <f t="shared" si="149"/>
        <v>0</v>
      </c>
      <c r="AK209">
        <v>514.92999999999995</v>
      </c>
      <c r="AL209">
        <v>514.92999999999995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147</v>
      </c>
      <c r="AU209">
        <v>134</v>
      </c>
      <c r="AV209">
        <v>1</v>
      </c>
      <c r="AW209">
        <v>1</v>
      </c>
      <c r="AZ209">
        <v>1</v>
      </c>
      <c r="BA209">
        <v>1</v>
      </c>
      <c r="BB209">
        <v>1</v>
      </c>
      <c r="BC209">
        <v>1</v>
      </c>
      <c r="BD209" t="s">
        <v>3</v>
      </c>
      <c r="BE209" t="s">
        <v>3</v>
      </c>
      <c r="BF209" t="s">
        <v>3</v>
      </c>
      <c r="BG209" t="s">
        <v>3</v>
      </c>
      <c r="BH209">
        <v>3</v>
      </c>
      <c r="BI209">
        <v>1</v>
      </c>
      <c r="BJ209" t="s">
        <v>347</v>
      </c>
      <c r="BM209">
        <v>27001</v>
      </c>
      <c r="BN209">
        <v>0</v>
      </c>
      <c r="BO209" t="s">
        <v>3</v>
      </c>
      <c r="BP209">
        <v>0</v>
      </c>
      <c r="BQ209">
        <v>2</v>
      </c>
      <c r="BR209">
        <v>1</v>
      </c>
      <c r="BS209">
        <v>1</v>
      </c>
      <c r="BT209">
        <v>1</v>
      </c>
      <c r="BU209">
        <v>1</v>
      </c>
      <c r="BV209">
        <v>1</v>
      </c>
      <c r="BW209">
        <v>1</v>
      </c>
      <c r="BX209">
        <v>1</v>
      </c>
      <c r="BY209" t="s">
        <v>3</v>
      </c>
      <c r="BZ209">
        <v>147</v>
      </c>
      <c r="CA209">
        <v>134</v>
      </c>
      <c r="CB209" t="s">
        <v>3</v>
      </c>
      <c r="CE209">
        <v>0</v>
      </c>
      <c r="CF209">
        <v>0</v>
      </c>
      <c r="CG209">
        <v>0</v>
      </c>
      <c r="CM209">
        <v>0</v>
      </c>
      <c r="CN209" t="s">
        <v>3</v>
      </c>
      <c r="CO209">
        <v>0</v>
      </c>
      <c r="CP209">
        <f t="shared" si="150"/>
        <v>-1869.95</v>
      </c>
      <c r="CQ209">
        <f>AC209*BC209</f>
        <v>514.92999999999995</v>
      </c>
      <c r="CR209">
        <f t="shared" si="152"/>
        <v>0</v>
      </c>
      <c r="CS209">
        <f t="shared" si="153"/>
        <v>0</v>
      </c>
      <c r="CT209">
        <f t="shared" si="154"/>
        <v>0</v>
      </c>
      <c r="CU209">
        <f t="shared" si="155"/>
        <v>0</v>
      </c>
      <c r="CV209">
        <f t="shared" si="156"/>
        <v>0</v>
      </c>
      <c r="CW209">
        <f t="shared" si="157"/>
        <v>0</v>
      </c>
      <c r="CX209">
        <f t="shared" si="158"/>
        <v>0</v>
      </c>
      <c r="CY209">
        <f t="shared" si="159"/>
        <v>0</v>
      </c>
      <c r="CZ209">
        <f t="shared" si="160"/>
        <v>0</v>
      </c>
      <c r="DC209" t="s">
        <v>3</v>
      </c>
      <c r="DD209" t="s">
        <v>3</v>
      </c>
      <c r="DE209" t="s">
        <v>3</v>
      </c>
      <c r="DF209" t="s">
        <v>3</v>
      </c>
      <c r="DG209" t="s">
        <v>3</v>
      </c>
      <c r="DH209" t="s">
        <v>3</v>
      </c>
      <c r="DI209" t="s">
        <v>3</v>
      </c>
      <c r="DJ209" t="s">
        <v>3</v>
      </c>
      <c r="DK209" t="s">
        <v>3</v>
      </c>
      <c r="DL209" t="s">
        <v>3</v>
      </c>
      <c r="DM209" t="s">
        <v>3</v>
      </c>
      <c r="DN209">
        <v>0</v>
      </c>
      <c r="DO209">
        <v>0</v>
      </c>
      <c r="DP209">
        <v>1</v>
      </c>
      <c r="DQ209">
        <v>1</v>
      </c>
      <c r="DU209">
        <v>1009</v>
      </c>
      <c r="DV209" t="s">
        <v>337</v>
      </c>
      <c r="DW209" t="s">
        <v>337</v>
      </c>
      <c r="DX209">
        <v>1000</v>
      </c>
      <c r="DZ209" t="s">
        <v>3</v>
      </c>
      <c r="EA209" t="s">
        <v>3</v>
      </c>
      <c r="EB209" t="s">
        <v>3</v>
      </c>
      <c r="EC209" t="s">
        <v>3</v>
      </c>
      <c r="EE209">
        <v>41328329</v>
      </c>
      <c r="EF209">
        <v>2</v>
      </c>
      <c r="EG209" t="s">
        <v>21</v>
      </c>
      <c r="EH209">
        <v>21</v>
      </c>
      <c r="EI209" t="s">
        <v>253</v>
      </c>
      <c r="EJ209">
        <v>1</v>
      </c>
      <c r="EK209">
        <v>27001</v>
      </c>
      <c r="EL209" t="s">
        <v>253</v>
      </c>
      <c r="EM209" t="s">
        <v>255</v>
      </c>
      <c r="EO209" t="s">
        <v>3</v>
      </c>
      <c r="EQ209">
        <v>32768</v>
      </c>
      <c r="ER209">
        <v>514.92999999999995</v>
      </c>
      <c r="ES209">
        <v>514.92999999999995</v>
      </c>
      <c r="ET209">
        <v>0</v>
      </c>
      <c r="EU209">
        <v>0</v>
      </c>
      <c r="EV209">
        <v>0</v>
      </c>
      <c r="EW209">
        <v>0</v>
      </c>
      <c r="EX209">
        <v>0</v>
      </c>
      <c r="FQ209">
        <v>0</v>
      </c>
      <c r="FR209">
        <f t="shared" si="161"/>
        <v>0</v>
      </c>
      <c r="FS209">
        <v>0</v>
      </c>
      <c r="FX209">
        <v>147</v>
      </c>
      <c r="FY209">
        <v>134</v>
      </c>
      <c r="GA209" t="s">
        <v>3</v>
      </c>
      <c r="GD209">
        <v>1</v>
      </c>
      <c r="GF209">
        <v>1939557509</v>
      </c>
      <c r="GG209">
        <v>2</v>
      </c>
      <c r="GH209">
        <v>1</v>
      </c>
      <c r="GI209">
        <v>4</v>
      </c>
      <c r="GJ209">
        <v>0</v>
      </c>
      <c r="GK209">
        <v>0</v>
      </c>
      <c r="GL209">
        <f t="shared" si="162"/>
        <v>0</v>
      </c>
      <c r="GM209">
        <f t="shared" si="163"/>
        <v>-1869.95</v>
      </c>
      <c r="GN209">
        <f t="shared" si="164"/>
        <v>-1869.95</v>
      </c>
      <c r="GO209">
        <f t="shared" si="165"/>
        <v>0</v>
      </c>
      <c r="GP209">
        <f t="shared" si="166"/>
        <v>0</v>
      </c>
      <c r="GR209">
        <v>0</v>
      </c>
      <c r="GS209">
        <v>3</v>
      </c>
      <c r="GT209">
        <v>0</v>
      </c>
      <c r="GU209" t="s">
        <v>3</v>
      </c>
      <c r="GV209">
        <f t="shared" si="167"/>
        <v>0</v>
      </c>
      <c r="GW209">
        <v>1</v>
      </c>
      <c r="GX209">
        <f t="shared" si="168"/>
        <v>0</v>
      </c>
      <c r="HA209">
        <v>0</v>
      </c>
      <c r="HB209">
        <v>0</v>
      </c>
      <c r="HC209">
        <f t="shared" si="169"/>
        <v>0</v>
      </c>
      <c r="HE209" t="s">
        <v>3</v>
      </c>
      <c r="HF209" t="s">
        <v>3</v>
      </c>
      <c r="HI209">
        <f t="shared" si="170"/>
        <v>0</v>
      </c>
      <c r="HJ209">
        <f t="shared" si="171"/>
        <v>0</v>
      </c>
      <c r="HK209">
        <f t="shared" si="172"/>
        <v>0</v>
      </c>
      <c r="HL209">
        <f t="shared" si="173"/>
        <v>0</v>
      </c>
      <c r="HM209" t="s">
        <v>3</v>
      </c>
      <c r="HN209" t="s">
        <v>256</v>
      </c>
      <c r="HO209" t="s">
        <v>257</v>
      </c>
      <c r="HP209" t="s">
        <v>253</v>
      </c>
      <c r="HQ209" t="s">
        <v>253</v>
      </c>
      <c r="IK209">
        <v>0</v>
      </c>
    </row>
    <row r="210" spans="1:245">
      <c r="A210">
        <v>17</v>
      </c>
      <c r="B210">
        <v>1</v>
      </c>
      <c r="E210" t="s">
        <v>348</v>
      </c>
      <c r="F210" t="s">
        <v>315</v>
      </c>
      <c r="G210" t="s">
        <v>349</v>
      </c>
      <c r="H210" t="s">
        <v>326</v>
      </c>
      <c r="I210">
        <f>ROUND(8.71125+3.63147,7)</f>
        <v>12.34272</v>
      </c>
      <c r="J210">
        <v>0</v>
      </c>
      <c r="K210">
        <f>ROUND(8.71125+3.63147,7)</f>
        <v>12.34272</v>
      </c>
      <c r="O210">
        <f t="shared" si="135"/>
        <v>20242.060000000001</v>
      </c>
      <c r="P210">
        <f>ROUND(ROUND(CQ210*I210,2)/BC210,2)</f>
        <v>20242.060000000001</v>
      </c>
      <c r="Q210">
        <f t="shared" si="137"/>
        <v>0</v>
      </c>
      <c r="R210">
        <f t="shared" si="138"/>
        <v>0</v>
      </c>
      <c r="S210">
        <f t="shared" si="139"/>
        <v>0</v>
      </c>
      <c r="T210">
        <f t="shared" si="140"/>
        <v>0</v>
      </c>
      <c r="U210">
        <f t="shared" si="141"/>
        <v>0</v>
      </c>
      <c r="V210">
        <f t="shared" si="142"/>
        <v>0</v>
      </c>
      <c r="W210">
        <f t="shared" si="143"/>
        <v>0</v>
      </c>
      <c r="X210">
        <f t="shared" si="144"/>
        <v>0</v>
      </c>
      <c r="Y210">
        <f t="shared" si="145"/>
        <v>0</v>
      </c>
      <c r="AA210">
        <v>47920234</v>
      </c>
      <c r="AB210">
        <f t="shared" si="146"/>
        <v>8446</v>
      </c>
      <c r="AC210">
        <f t="shared" si="176"/>
        <v>8446</v>
      </c>
      <c r="AD210">
        <f>ROUND((((ET210)-(EU210))+AE210),2)</f>
        <v>0</v>
      </c>
      <c r="AE210">
        <f>ROUND((EU210),2)</f>
        <v>0</v>
      </c>
      <c r="AF210">
        <f>ROUND((EV210),2)</f>
        <v>0</v>
      </c>
      <c r="AG210">
        <f t="shared" si="148"/>
        <v>0</v>
      </c>
      <c r="AH210">
        <f>(EW210)</f>
        <v>0</v>
      </c>
      <c r="AI210">
        <f>(EX210)</f>
        <v>0</v>
      </c>
      <c r="AJ210">
        <f t="shared" si="149"/>
        <v>0</v>
      </c>
      <c r="AK210">
        <v>8446</v>
      </c>
      <c r="AL210">
        <v>8446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1</v>
      </c>
      <c r="AW210">
        <v>1</v>
      </c>
      <c r="AZ210">
        <v>1</v>
      </c>
      <c r="BA210">
        <v>1</v>
      </c>
      <c r="BB210">
        <v>1</v>
      </c>
      <c r="BC210">
        <v>5.15</v>
      </c>
      <c r="BD210" t="s">
        <v>3</v>
      </c>
      <c r="BE210" t="s">
        <v>3</v>
      </c>
      <c r="BF210" t="s">
        <v>3</v>
      </c>
      <c r="BG210" t="s">
        <v>3</v>
      </c>
      <c r="BH210">
        <v>3</v>
      </c>
      <c r="BI210">
        <v>2</v>
      </c>
      <c r="BJ210" t="s">
        <v>315</v>
      </c>
      <c r="BM210">
        <v>500004</v>
      </c>
      <c r="BN210">
        <v>0</v>
      </c>
      <c r="BO210" t="s">
        <v>3</v>
      </c>
      <c r="BP210">
        <v>0</v>
      </c>
      <c r="BQ210">
        <v>14</v>
      </c>
      <c r="BR210">
        <v>0</v>
      </c>
      <c r="BS210">
        <v>1</v>
      </c>
      <c r="BT210">
        <v>1</v>
      </c>
      <c r="BU210">
        <v>1</v>
      </c>
      <c r="BV210">
        <v>1</v>
      </c>
      <c r="BW210">
        <v>1</v>
      </c>
      <c r="BX210">
        <v>1</v>
      </c>
      <c r="BY210" t="s">
        <v>3</v>
      </c>
      <c r="BZ210">
        <v>0</v>
      </c>
      <c r="CA210">
        <v>0</v>
      </c>
      <c r="CB210" t="s">
        <v>3</v>
      </c>
      <c r="CE210">
        <v>0</v>
      </c>
      <c r="CF210">
        <v>0</v>
      </c>
      <c r="CG210">
        <v>0</v>
      </c>
      <c r="CM210">
        <v>0</v>
      </c>
      <c r="CN210" t="s">
        <v>3</v>
      </c>
      <c r="CO210">
        <v>0</v>
      </c>
      <c r="CP210">
        <f t="shared" si="150"/>
        <v>20242.060000000001</v>
      </c>
      <c r="CQ210">
        <f>AC210</f>
        <v>8446</v>
      </c>
      <c r="CR210">
        <f t="shared" si="152"/>
        <v>0</v>
      </c>
      <c r="CS210">
        <f t="shared" si="153"/>
        <v>0</v>
      </c>
      <c r="CT210">
        <f t="shared" si="154"/>
        <v>0</v>
      </c>
      <c r="CU210">
        <f t="shared" si="155"/>
        <v>0</v>
      </c>
      <c r="CV210">
        <f t="shared" si="156"/>
        <v>0</v>
      </c>
      <c r="CW210">
        <f t="shared" si="157"/>
        <v>0</v>
      </c>
      <c r="CX210">
        <f t="shared" si="158"/>
        <v>0</v>
      </c>
      <c r="CY210">
        <f t="shared" si="159"/>
        <v>0</v>
      </c>
      <c r="CZ210">
        <f t="shared" si="160"/>
        <v>0</v>
      </c>
      <c r="DC210" t="s">
        <v>3</v>
      </c>
      <c r="DD210" t="s">
        <v>3</v>
      </c>
      <c r="DE210" t="s">
        <v>3</v>
      </c>
      <c r="DF210" t="s">
        <v>3</v>
      </c>
      <c r="DG210" t="s">
        <v>3</v>
      </c>
      <c r="DH210" t="s">
        <v>3</v>
      </c>
      <c r="DI210" t="s">
        <v>3</v>
      </c>
      <c r="DJ210" t="s">
        <v>3</v>
      </c>
      <c r="DK210" t="s">
        <v>3</v>
      </c>
      <c r="DL210" t="s">
        <v>3</v>
      </c>
      <c r="DM210" t="s">
        <v>3</v>
      </c>
      <c r="DN210">
        <v>0</v>
      </c>
      <c r="DO210">
        <v>0</v>
      </c>
      <c r="DP210">
        <v>1</v>
      </c>
      <c r="DQ210">
        <v>1</v>
      </c>
      <c r="DU210">
        <v>1013</v>
      </c>
      <c r="DV210" t="s">
        <v>326</v>
      </c>
      <c r="DW210" t="s">
        <v>326</v>
      </c>
      <c r="DX210">
        <v>1</v>
      </c>
      <c r="DZ210" t="s">
        <v>3</v>
      </c>
      <c r="EA210" t="s">
        <v>3</v>
      </c>
      <c r="EB210" t="s">
        <v>3</v>
      </c>
      <c r="EC210" t="s">
        <v>3</v>
      </c>
      <c r="EE210">
        <v>41328483</v>
      </c>
      <c r="EF210">
        <v>14</v>
      </c>
      <c r="EG210" t="s">
        <v>316</v>
      </c>
      <c r="EH210">
        <v>0</v>
      </c>
      <c r="EI210" t="s">
        <v>3</v>
      </c>
      <c r="EJ210">
        <v>2</v>
      </c>
      <c r="EK210">
        <v>500004</v>
      </c>
      <c r="EL210" t="s">
        <v>317</v>
      </c>
      <c r="EM210" t="s">
        <v>318</v>
      </c>
      <c r="EO210" t="s">
        <v>3</v>
      </c>
      <c r="EQ210">
        <v>2097152</v>
      </c>
      <c r="ER210">
        <v>8446</v>
      </c>
      <c r="ES210">
        <v>8446</v>
      </c>
      <c r="ET210">
        <v>0</v>
      </c>
      <c r="EU210">
        <v>0</v>
      </c>
      <c r="EV210">
        <v>0</v>
      </c>
      <c r="EW210">
        <v>0</v>
      </c>
      <c r="EX210">
        <v>0</v>
      </c>
      <c r="EY210">
        <v>0</v>
      </c>
      <c r="EZ210">
        <v>5</v>
      </c>
      <c r="FC210">
        <v>0</v>
      </c>
      <c r="FD210">
        <v>18</v>
      </c>
      <c r="FF210">
        <v>8446</v>
      </c>
      <c r="FQ210">
        <v>0</v>
      </c>
      <c r="FR210">
        <f t="shared" si="161"/>
        <v>0</v>
      </c>
      <c r="FS210">
        <v>0</v>
      </c>
      <c r="FX210">
        <v>0</v>
      </c>
      <c r="FY210">
        <v>0</v>
      </c>
      <c r="GA210" t="s">
        <v>3</v>
      </c>
      <c r="GD210">
        <v>1</v>
      </c>
      <c r="GF210">
        <v>-1669819457</v>
      </c>
      <c r="GG210">
        <v>2</v>
      </c>
      <c r="GH210">
        <v>3</v>
      </c>
      <c r="GI210">
        <v>4</v>
      </c>
      <c r="GJ210">
        <v>0</v>
      </c>
      <c r="GK210">
        <v>0</v>
      </c>
      <c r="GL210">
        <f t="shared" si="162"/>
        <v>0</v>
      </c>
      <c r="GM210">
        <f t="shared" si="163"/>
        <v>20242.060000000001</v>
      </c>
      <c r="GN210">
        <f t="shared" si="164"/>
        <v>0</v>
      </c>
      <c r="GO210">
        <f t="shared" si="165"/>
        <v>20242.060000000001</v>
      </c>
      <c r="GP210">
        <f t="shared" si="166"/>
        <v>0</v>
      </c>
      <c r="GR210">
        <v>1</v>
      </c>
      <c r="GS210">
        <v>1</v>
      </c>
      <c r="GT210">
        <v>0</v>
      </c>
      <c r="GU210" t="s">
        <v>3</v>
      </c>
      <c r="GV210">
        <f t="shared" si="167"/>
        <v>0</v>
      </c>
      <c r="GW210">
        <v>1</v>
      </c>
      <c r="GX210">
        <f t="shared" si="168"/>
        <v>0</v>
      </c>
      <c r="HA210">
        <v>0</v>
      </c>
      <c r="HB210">
        <v>0</v>
      </c>
      <c r="HC210">
        <f t="shared" si="169"/>
        <v>0</v>
      </c>
      <c r="HE210" t="s">
        <v>3</v>
      </c>
      <c r="HF210" t="s">
        <v>3</v>
      </c>
      <c r="HG210">
        <f>ROUND(AC210*I210,2)</f>
        <v>104246.61</v>
      </c>
      <c r="HI210">
        <f t="shared" si="170"/>
        <v>0</v>
      </c>
      <c r="HJ210">
        <f t="shared" si="171"/>
        <v>0</v>
      </c>
      <c r="HK210">
        <f t="shared" si="172"/>
        <v>0</v>
      </c>
      <c r="HL210">
        <f t="shared" si="173"/>
        <v>0</v>
      </c>
      <c r="HM210" t="s">
        <v>3</v>
      </c>
      <c r="HN210" t="s">
        <v>3</v>
      </c>
      <c r="HO210" t="s">
        <v>3</v>
      </c>
      <c r="HP210" t="s">
        <v>3</v>
      </c>
      <c r="HQ210" t="s">
        <v>3</v>
      </c>
      <c r="IK210">
        <v>0</v>
      </c>
    </row>
    <row r="212" spans="1:245">
      <c r="A212" s="2">
        <v>51</v>
      </c>
      <c r="B212" s="2">
        <f>B185</f>
        <v>1</v>
      </c>
      <c r="C212" s="2">
        <f>A185</f>
        <v>4</v>
      </c>
      <c r="D212" s="2">
        <f>ROW(A185)</f>
        <v>185</v>
      </c>
      <c r="E212" s="2"/>
      <c r="F212" s="2" t="str">
        <f>IF(F185&lt;&gt;"",F185,"")</f>
        <v>Новый раздел</v>
      </c>
      <c r="G212" s="2" t="str">
        <f>IF(G185&lt;&gt;"",G185,"")</f>
        <v>Вскрытие и восстановление асфальта</v>
      </c>
      <c r="H212" s="2">
        <v>0</v>
      </c>
      <c r="I212" s="2"/>
      <c r="J212" s="2"/>
      <c r="K212" s="2"/>
      <c r="L212" s="2"/>
      <c r="M212" s="2"/>
      <c r="N212" s="2"/>
      <c r="O212" s="2">
        <f t="shared" ref="O212:T212" si="177">ROUND(AB212,2)</f>
        <v>26984.51</v>
      </c>
      <c r="P212" s="2">
        <f t="shared" si="177"/>
        <v>24857.91</v>
      </c>
      <c r="Q212" s="2">
        <f t="shared" si="177"/>
        <v>2013.23</v>
      </c>
      <c r="R212" s="2">
        <f t="shared" si="177"/>
        <v>96.1</v>
      </c>
      <c r="S212" s="2">
        <f t="shared" si="177"/>
        <v>113.37</v>
      </c>
      <c r="T212" s="2">
        <f t="shared" si="177"/>
        <v>0</v>
      </c>
      <c r="U212" s="2">
        <f>AH212</f>
        <v>21.407616449999995</v>
      </c>
      <c r="V212" s="2">
        <f>AI212</f>
        <v>11.8345302</v>
      </c>
      <c r="W212" s="2">
        <f>ROUND(AJ212,2)</f>
        <v>0</v>
      </c>
      <c r="X212" s="2">
        <f>ROUND(AK212,2)</f>
        <v>307.93</v>
      </c>
      <c r="Y212" s="2">
        <f>ROUND(AL212,2)</f>
        <v>243.74</v>
      </c>
      <c r="Z212" s="2"/>
      <c r="AA212" s="2"/>
      <c r="AB212" s="2">
        <f>ROUND(SUMIF(AA189:AA210,"=47920234",O189:O210),2)</f>
        <v>26984.51</v>
      </c>
      <c r="AC212" s="2">
        <f>ROUND(SUMIF(AA189:AA210,"=47920234",P189:P210),2)</f>
        <v>24857.91</v>
      </c>
      <c r="AD212" s="2">
        <f>ROUND(SUMIF(AA189:AA210,"=47920234",Q189:Q210),2)</f>
        <v>2013.23</v>
      </c>
      <c r="AE212" s="2">
        <f>ROUND(SUMIF(AA189:AA210,"=47920234",R189:R210),2)</f>
        <v>96.1</v>
      </c>
      <c r="AF212" s="2">
        <f>ROUND(SUMIF(AA189:AA210,"=47920234",S189:S210),2)</f>
        <v>113.37</v>
      </c>
      <c r="AG212" s="2">
        <f>ROUND(SUMIF(AA189:AA210,"=47920234",T189:T210),2)</f>
        <v>0</v>
      </c>
      <c r="AH212" s="2">
        <f>SUMIF(AA189:AA210,"=47920234",U189:U210)</f>
        <v>21.407616449999995</v>
      </c>
      <c r="AI212" s="2">
        <f>SUMIF(AA189:AA210,"=47920234",V189:V210)</f>
        <v>11.8345302</v>
      </c>
      <c r="AJ212" s="2">
        <f>ROUND(SUMIF(AA189:AA210,"=47920234",W189:W210),2)</f>
        <v>0</v>
      </c>
      <c r="AK212" s="2">
        <f>ROUND(SUMIF(AA189:AA210,"=47920234",X189:X210),2)</f>
        <v>307.93</v>
      </c>
      <c r="AL212" s="2">
        <f>ROUND(SUMIF(AA189:AA210,"=47920234",Y189:Y210),2)</f>
        <v>243.74</v>
      </c>
      <c r="AM212" s="2"/>
      <c r="AN212" s="2"/>
      <c r="AO212" s="2">
        <f t="shared" ref="AO212:BD212" si="178">ROUND(BX212,2)</f>
        <v>0</v>
      </c>
      <c r="AP212" s="2">
        <f t="shared" si="178"/>
        <v>0</v>
      </c>
      <c r="AQ212" s="2">
        <f t="shared" si="178"/>
        <v>0</v>
      </c>
      <c r="AR212" s="2">
        <f t="shared" si="178"/>
        <v>27536.18</v>
      </c>
      <c r="AS212" s="2">
        <f t="shared" si="178"/>
        <v>2999.66</v>
      </c>
      <c r="AT212" s="2">
        <f t="shared" si="178"/>
        <v>24536.52</v>
      </c>
      <c r="AU212" s="2">
        <f t="shared" si="178"/>
        <v>0</v>
      </c>
      <c r="AV212" s="2">
        <f t="shared" si="178"/>
        <v>24857.91</v>
      </c>
      <c r="AW212" s="2">
        <f t="shared" si="178"/>
        <v>24857.91</v>
      </c>
      <c r="AX212" s="2">
        <f t="shared" si="178"/>
        <v>0</v>
      </c>
      <c r="AY212" s="2">
        <f t="shared" si="178"/>
        <v>24857.91</v>
      </c>
      <c r="AZ212" s="2">
        <f t="shared" si="178"/>
        <v>0</v>
      </c>
      <c r="BA212" s="2">
        <f t="shared" si="178"/>
        <v>0</v>
      </c>
      <c r="BB212" s="2">
        <f t="shared" si="178"/>
        <v>0</v>
      </c>
      <c r="BC212" s="2">
        <f t="shared" si="178"/>
        <v>0</v>
      </c>
      <c r="BD212" s="2">
        <f t="shared" si="178"/>
        <v>719.82</v>
      </c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>
        <f>ROUND(SUMIF(AA189:AA210,"=47920234",FQ189:FQ210),2)</f>
        <v>0</v>
      </c>
      <c r="BY212" s="2">
        <f>ROUND(SUMIF(AA189:AA210,"=47920234",FR189:FR210),2)</f>
        <v>0</v>
      </c>
      <c r="BZ212" s="2">
        <f>ROUND(SUMIF(AA189:AA210,"=47920234",GL189:GL210),2)</f>
        <v>0</v>
      </c>
      <c r="CA212" s="2">
        <f>ROUND(SUMIF(AA189:AA210,"=47920234",GM189:GM210),2)</f>
        <v>27536.18</v>
      </c>
      <c r="CB212" s="2">
        <f>ROUND(SUMIF(AA189:AA210,"=47920234",GN189:GN210),2)</f>
        <v>2999.66</v>
      </c>
      <c r="CC212" s="2">
        <f>ROUND(SUMIF(AA189:AA210,"=47920234",GO189:GO210),2)</f>
        <v>24536.52</v>
      </c>
      <c r="CD212" s="2">
        <f>ROUND(SUMIF(AA189:AA210,"=47920234",GP189:GP210),2)</f>
        <v>0</v>
      </c>
      <c r="CE212" s="2">
        <f>AC212-BX212</f>
        <v>24857.91</v>
      </c>
      <c r="CF212" s="2">
        <f>AC212-BY212</f>
        <v>24857.91</v>
      </c>
      <c r="CG212" s="2">
        <f>BX212-BZ212</f>
        <v>0</v>
      </c>
      <c r="CH212" s="2">
        <f>AC212-BX212-BY212+BZ212</f>
        <v>24857.91</v>
      </c>
      <c r="CI212" s="2">
        <f>BY212-BZ212</f>
        <v>0</v>
      </c>
      <c r="CJ212" s="2">
        <f>ROUND(SUMIF(AA189:AA210,"=47920234",GX189:GX210),2)</f>
        <v>0</v>
      </c>
      <c r="CK212" s="2">
        <f>ROUND(SUMIF(AA189:AA210,"=47920234",GY189:GY210),2)</f>
        <v>0</v>
      </c>
      <c r="CL212" s="2">
        <f>ROUND(SUMIF(AA189:AA210,"=47920234",GZ189:GZ210),2)</f>
        <v>0</v>
      </c>
      <c r="CM212" s="2">
        <f>ROUND(SUMIF(AA189:AA210,"=47920234",HD189:HD210),2)</f>
        <v>719.82</v>
      </c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>
        <v>0</v>
      </c>
    </row>
    <row r="214" spans="1:245">
      <c r="A214" s="4">
        <v>50</v>
      </c>
      <c r="B214" s="4">
        <v>0</v>
      </c>
      <c r="C214" s="4">
        <v>0</v>
      </c>
      <c r="D214" s="4">
        <v>1</v>
      </c>
      <c r="E214" s="4">
        <v>0</v>
      </c>
      <c r="F214" s="4">
        <f>ROUND(Source!O212,O214)</f>
        <v>26984.51</v>
      </c>
      <c r="G214" s="4" t="s">
        <v>84</v>
      </c>
      <c r="H214" s="4" t="s">
        <v>85</v>
      </c>
      <c r="I214" s="4"/>
      <c r="J214" s="4"/>
      <c r="K214" s="4">
        <v>201</v>
      </c>
      <c r="L214" s="4">
        <v>1</v>
      </c>
      <c r="M214" s="4">
        <v>3</v>
      </c>
      <c r="N214" s="4" t="s">
        <v>3</v>
      </c>
      <c r="O214" s="4">
        <v>2</v>
      </c>
      <c r="P214" s="4"/>
      <c r="Q214" s="4"/>
      <c r="R214" s="4"/>
      <c r="S214" s="4"/>
      <c r="T214" s="4"/>
      <c r="U214" s="4"/>
      <c r="V214" s="4"/>
      <c r="W214" s="4">
        <v>26984.51</v>
      </c>
      <c r="X214" s="4">
        <v>1</v>
      </c>
      <c r="Y214" s="4">
        <v>146840.17000000001</v>
      </c>
      <c r="Z214" s="4"/>
      <c r="AA214" s="4"/>
      <c r="AB214" s="4"/>
    </row>
    <row r="215" spans="1:245">
      <c r="A215" s="4">
        <v>50</v>
      </c>
      <c r="B215" s="4">
        <v>0</v>
      </c>
      <c r="C215" s="4">
        <v>0</v>
      </c>
      <c r="D215" s="4">
        <v>1</v>
      </c>
      <c r="E215" s="4">
        <v>202</v>
      </c>
      <c r="F215" s="4">
        <f>ROUND(Source!P212,O215)</f>
        <v>24857.91</v>
      </c>
      <c r="G215" s="4" t="s">
        <v>86</v>
      </c>
      <c r="H215" s="4" t="s">
        <v>87</v>
      </c>
      <c r="I215" s="4"/>
      <c r="J215" s="4"/>
      <c r="K215" s="4">
        <v>202</v>
      </c>
      <c r="L215" s="4">
        <v>2</v>
      </c>
      <c r="M215" s="4">
        <v>3</v>
      </c>
      <c r="N215" s="4" t="s">
        <v>3</v>
      </c>
      <c r="O215" s="4">
        <v>2</v>
      </c>
      <c r="P215" s="4"/>
      <c r="Q215" s="4"/>
      <c r="R215" s="4"/>
      <c r="S215" s="4"/>
      <c r="T215" s="4"/>
      <c r="U215" s="4"/>
      <c r="V215" s="4"/>
      <c r="W215" s="4">
        <v>24857.91</v>
      </c>
      <c r="X215" s="4">
        <v>1</v>
      </c>
      <c r="Y215" s="4">
        <v>0</v>
      </c>
      <c r="Z215" s="4"/>
      <c r="AA215" s="4"/>
      <c r="AB215" s="4"/>
    </row>
    <row r="216" spans="1:245">
      <c r="A216" s="4">
        <v>50</v>
      </c>
      <c r="B216" s="4">
        <v>0</v>
      </c>
      <c r="C216" s="4">
        <v>0</v>
      </c>
      <c r="D216" s="4">
        <v>1</v>
      </c>
      <c r="E216" s="4">
        <v>222</v>
      </c>
      <c r="F216" s="4">
        <f>ROUND(Source!AO212,O216)</f>
        <v>0</v>
      </c>
      <c r="G216" s="4" t="s">
        <v>88</v>
      </c>
      <c r="H216" s="4" t="s">
        <v>89</v>
      </c>
      <c r="I216" s="4"/>
      <c r="J216" s="4"/>
      <c r="K216" s="4">
        <v>222</v>
      </c>
      <c r="L216" s="4">
        <v>3</v>
      </c>
      <c r="M216" s="4">
        <v>3</v>
      </c>
      <c r="N216" s="4" t="s">
        <v>3</v>
      </c>
      <c r="O216" s="4">
        <v>2</v>
      </c>
      <c r="P216" s="4"/>
      <c r="Q216" s="4"/>
      <c r="R216" s="4"/>
      <c r="S216" s="4"/>
      <c r="T216" s="4"/>
      <c r="U216" s="4"/>
      <c r="V216" s="4"/>
      <c r="W216" s="4">
        <v>0</v>
      </c>
      <c r="X216" s="4">
        <v>1</v>
      </c>
      <c r="Y216" s="4">
        <v>0</v>
      </c>
      <c r="Z216" s="4"/>
      <c r="AA216" s="4"/>
      <c r="AB216" s="4"/>
    </row>
    <row r="217" spans="1:245">
      <c r="A217" s="4">
        <v>50</v>
      </c>
      <c r="B217" s="4">
        <v>0</v>
      </c>
      <c r="C217" s="4">
        <v>0</v>
      </c>
      <c r="D217" s="4">
        <v>1</v>
      </c>
      <c r="E217" s="4">
        <v>225</v>
      </c>
      <c r="F217" s="4">
        <f>ROUND(Source!AV212,O217)</f>
        <v>24857.91</v>
      </c>
      <c r="G217" s="4" t="s">
        <v>90</v>
      </c>
      <c r="H217" s="4" t="s">
        <v>91</v>
      </c>
      <c r="I217" s="4"/>
      <c r="J217" s="4"/>
      <c r="K217" s="4">
        <v>225</v>
      </c>
      <c r="L217" s="4">
        <v>4</v>
      </c>
      <c r="M217" s="4">
        <v>3</v>
      </c>
      <c r="N217" s="4" t="s">
        <v>3</v>
      </c>
      <c r="O217" s="4">
        <v>2</v>
      </c>
      <c r="P217" s="4"/>
      <c r="Q217" s="4"/>
      <c r="R217" s="4"/>
      <c r="S217" s="4"/>
      <c r="T217" s="4"/>
      <c r="U217" s="4"/>
      <c r="V217" s="4"/>
      <c r="W217" s="4">
        <v>24857.91</v>
      </c>
      <c r="X217" s="4">
        <v>1</v>
      </c>
      <c r="Y217" s="4">
        <v>0</v>
      </c>
      <c r="Z217" s="4"/>
      <c r="AA217" s="4"/>
      <c r="AB217" s="4"/>
    </row>
    <row r="218" spans="1:245">
      <c r="A218" s="4">
        <v>50</v>
      </c>
      <c r="B218" s="4">
        <v>0</v>
      </c>
      <c r="C218" s="4">
        <v>0</v>
      </c>
      <c r="D218" s="4">
        <v>1</v>
      </c>
      <c r="E218" s="4">
        <v>226</v>
      </c>
      <c r="F218" s="4">
        <f>ROUND(Source!AW212,O218)</f>
        <v>24857.91</v>
      </c>
      <c r="G218" s="4" t="s">
        <v>92</v>
      </c>
      <c r="H218" s="4" t="s">
        <v>93</v>
      </c>
      <c r="I218" s="4"/>
      <c r="J218" s="4"/>
      <c r="K218" s="4">
        <v>226</v>
      </c>
      <c r="L218" s="4">
        <v>5</v>
      </c>
      <c r="M218" s="4">
        <v>3</v>
      </c>
      <c r="N218" s="4" t="s">
        <v>3</v>
      </c>
      <c r="O218" s="4">
        <v>2</v>
      </c>
      <c r="P218" s="4"/>
      <c r="Q218" s="4"/>
      <c r="R218" s="4"/>
      <c r="S218" s="4"/>
      <c r="T218" s="4"/>
      <c r="U218" s="4"/>
      <c r="V218" s="4"/>
      <c r="W218" s="4">
        <v>24857.91</v>
      </c>
      <c r="X218" s="4">
        <v>1</v>
      </c>
      <c r="Y218" s="4">
        <v>128018.24000000001</v>
      </c>
      <c r="Z218" s="4"/>
      <c r="AA218" s="4"/>
      <c r="AB218" s="4"/>
    </row>
    <row r="219" spans="1:245">
      <c r="A219" s="4">
        <v>50</v>
      </c>
      <c r="B219" s="4">
        <v>0</v>
      </c>
      <c r="C219" s="4">
        <v>0</v>
      </c>
      <c r="D219" s="4">
        <v>1</v>
      </c>
      <c r="E219" s="4">
        <v>227</v>
      </c>
      <c r="F219" s="4">
        <f>ROUND(Source!AX212,O219)</f>
        <v>0</v>
      </c>
      <c r="G219" s="4" t="s">
        <v>94</v>
      </c>
      <c r="H219" s="4" t="s">
        <v>95</v>
      </c>
      <c r="I219" s="4"/>
      <c r="J219" s="4"/>
      <c r="K219" s="4">
        <v>227</v>
      </c>
      <c r="L219" s="4">
        <v>6</v>
      </c>
      <c r="M219" s="4">
        <v>3</v>
      </c>
      <c r="N219" s="4" t="s">
        <v>3</v>
      </c>
      <c r="O219" s="4">
        <v>2</v>
      </c>
      <c r="P219" s="4"/>
      <c r="Q219" s="4"/>
      <c r="R219" s="4"/>
      <c r="S219" s="4"/>
      <c r="T219" s="4"/>
      <c r="U219" s="4"/>
      <c r="V219" s="4"/>
      <c r="W219" s="4">
        <v>0</v>
      </c>
      <c r="X219" s="4">
        <v>1</v>
      </c>
      <c r="Y219" s="4">
        <v>0</v>
      </c>
      <c r="Z219" s="4"/>
      <c r="AA219" s="4"/>
      <c r="AB219" s="4"/>
    </row>
    <row r="220" spans="1:245">
      <c r="A220" s="4">
        <v>50</v>
      </c>
      <c r="B220" s="4">
        <v>0</v>
      </c>
      <c r="C220" s="4">
        <v>0</v>
      </c>
      <c r="D220" s="4">
        <v>1</v>
      </c>
      <c r="E220" s="4">
        <v>228</v>
      </c>
      <c r="F220" s="4">
        <f>ROUND(Source!AY212,O220)</f>
        <v>24857.91</v>
      </c>
      <c r="G220" s="4" t="s">
        <v>96</v>
      </c>
      <c r="H220" s="4" t="s">
        <v>97</v>
      </c>
      <c r="I220" s="4"/>
      <c r="J220" s="4"/>
      <c r="K220" s="4">
        <v>228</v>
      </c>
      <c r="L220" s="4">
        <v>7</v>
      </c>
      <c r="M220" s="4">
        <v>3</v>
      </c>
      <c r="N220" s="4" t="s">
        <v>3</v>
      </c>
      <c r="O220" s="4">
        <v>2</v>
      </c>
      <c r="P220" s="4"/>
      <c r="Q220" s="4"/>
      <c r="R220" s="4"/>
      <c r="S220" s="4"/>
      <c r="T220" s="4"/>
      <c r="U220" s="4"/>
      <c r="V220" s="4"/>
      <c r="W220" s="4">
        <v>24857.91</v>
      </c>
      <c r="X220" s="4">
        <v>1</v>
      </c>
      <c r="Y220" s="4">
        <v>128018.24000000001</v>
      </c>
      <c r="Z220" s="4"/>
      <c r="AA220" s="4"/>
      <c r="AB220" s="4"/>
    </row>
    <row r="221" spans="1:245">
      <c r="A221" s="4">
        <v>50</v>
      </c>
      <c r="B221" s="4">
        <v>0</v>
      </c>
      <c r="C221" s="4">
        <v>0</v>
      </c>
      <c r="D221" s="4">
        <v>1</v>
      </c>
      <c r="E221" s="4">
        <v>216</v>
      </c>
      <c r="F221" s="4">
        <f>ROUND(Source!AP212,O221)</f>
        <v>0</v>
      </c>
      <c r="G221" s="4" t="s">
        <v>98</v>
      </c>
      <c r="H221" s="4" t="s">
        <v>99</v>
      </c>
      <c r="I221" s="4"/>
      <c r="J221" s="4"/>
      <c r="K221" s="4">
        <v>216</v>
      </c>
      <c r="L221" s="4">
        <v>8</v>
      </c>
      <c r="M221" s="4">
        <v>3</v>
      </c>
      <c r="N221" s="4" t="s">
        <v>3</v>
      </c>
      <c r="O221" s="4">
        <v>2</v>
      </c>
      <c r="P221" s="4"/>
      <c r="Q221" s="4"/>
      <c r="R221" s="4"/>
      <c r="S221" s="4"/>
      <c r="T221" s="4"/>
      <c r="U221" s="4"/>
      <c r="V221" s="4"/>
      <c r="W221" s="4">
        <v>0</v>
      </c>
      <c r="X221" s="4">
        <v>1</v>
      </c>
      <c r="Y221" s="4">
        <v>0</v>
      </c>
      <c r="Z221" s="4"/>
      <c r="AA221" s="4"/>
      <c r="AB221" s="4"/>
    </row>
    <row r="222" spans="1:245">
      <c r="A222" s="4">
        <v>50</v>
      </c>
      <c r="B222" s="4">
        <v>0</v>
      </c>
      <c r="C222" s="4">
        <v>0</v>
      </c>
      <c r="D222" s="4">
        <v>1</v>
      </c>
      <c r="E222" s="4">
        <v>223</v>
      </c>
      <c r="F222" s="4">
        <f>ROUND(Source!AQ212,O222)</f>
        <v>0</v>
      </c>
      <c r="G222" s="4" t="s">
        <v>100</v>
      </c>
      <c r="H222" s="4" t="s">
        <v>101</v>
      </c>
      <c r="I222" s="4"/>
      <c r="J222" s="4"/>
      <c r="K222" s="4">
        <v>223</v>
      </c>
      <c r="L222" s="4">
        <v>9</v>
      </c>
      <c r="M222" s="4">
        <v>3</v>
      </c>
      <c r="N222" s="4" t="s">
        <v>3</v>
      </c>
      <c r="O222" s="4">
        <v>2</v>
      </c>
      <c r="P222" s="4"/>
      <c r="Q222" s="4"/>
      <c r="R222" s="4"/>
      <c r="S222" s="4"/>
      <c r="T222" s="4"/>
      <c r="U222" s="4"/>
      <c r="V222" s="4"/>
      <c r="W222" s="4">
        <v>0</v>
      </c>
      <c r="X222" s="4">
        <v>1</v>
      </c>
      <c r="Y222" s="4">
        <v>0</v>
      </c>
      <c r="Z222" s="4"/>
      <c r="AA222" s="4"/>
      <c r="AB222" s="4"/>
    </row>
    <row r="223" spans="1:245">
      <c r="A223" s="4">
        <v>50</v>
      </c>
      <c r="B223" s="4">
        <v>0</v>
      </c>
      <c r="C223" s="4">
        <v>0</v>
      </c>
      <c r="D223" s="4">
        <v>1</v>
      </c>
      <c r="E223" s="4">
        <v>229</v>
      </c>
      <c r="F223" s="4">
        <f>ROUND(Source!AZ212,O223)</f>
        <v>0</v>
      </c>
      <c r="G223" s="4" t="s">
        <v>102</v>
      </c>
      <c r="H223" s="4" t="s">
        <v>103</v>
      </c>
      <c r="I223" s="4"/>
      <c r="J223" s="4"/>
      <c r="K223" s="4">
        <v>229</v>
      </c>
      <c r="L223" s="4">
        <v>10</v>
      </c>
      <c r="M223" s="4">
        <v>3</v>
      </c>
      <c r="N223" s="4" t="s">
        <v>3</v>
      </c>
      <c r="O223" s="4">
        <v>2</v>
      </c>
      <c r="P223" s="4"/>
      <c r="Q223" s="4"/>
      <c r="R223" s="4"/>
      <c r="S223" s="4"/>
      <c r="T223" s="4"/>
      <c r="U223" s="4"/>
      <c r="V223" s="4"/>
      <c r="W223" s="4">
        <v>0</v>
      </c>
      <c r="X223" s="4">
        <v>1</v>
      </c>
      <c r="Y223" s="4">
        <v>0</v>
      </c>
      <c r="Z223" s="4"/>
      <c r="AA223" s="4"/>
      <c r="AB223" s="4"/>
    </row>
    <row r="224" spans="1:245">
      <c r="A224" s="4">
        <v>50</v>
      </c>
      <c r="B224" s="4">
        <v>0</v>
      </c>
      <c r="C224" s="4">
        <v>0</v>
      </c>
      <c r="D224" s="4">
        <v>1</v>
      </c>
      <c r="E224" s="4">
        <v>203</v>
      </c>
      <c r="F224" s="4">
        <f>ROUND(Source!Q212,O224)</f>
        <v>2013.23</v>
      </c>
      <c r="G224" s="4" t="s">
        <v>104</v>
      </c>
      <c r="H224" s="4" t="s">
        <v>105</v>
      </c>
      <c r="I224" s="4"/>
      <c r="J224" s="4"/>
      <c r="K224" s="4">
        <v>203</v>
      </c>
      <c r="L224" s="4">
        <v>11</v>
      </c>
      <c r="M224" s="4">
        <v>3</v>
      </c>
      <c r="N224" s="4" t="s">
        <v>3</v>
      </c>
      <c r="O224" s="4">
        <v>2</v>
      </c>
      <c r="P224" s="4"/>
      <c r="Q224" s="4"/>
      <c r="R224" s="4"/>
      <c r="S224" s="4"/>
      <c r="T224" s="4"/>
      <c r="U224" s="4"/>
      <c r="V224" s="4"/>
      <c r="W224" s="4">
        <v>1293.4099999999999</v>
      </c>
      <c r="X224" s="4">
        <v>1</v>
      </c>
      <c r="Y224" s="4">
        <v>9985.1299999999992</v>
      </c>
      <c r="Z224" s="4"/>
      <c r="AA224" s="4"/>
      <c r="AB224" s="4"/>
    </row>
    <row r="225" spans="1:28">
      <c r="A225" s="4">
        <v>50</v>
      </c>
      <c r="B225" s="4">
        <v>0</v>
      </c>
      <c r="C225" s="4">
        <v>0</v>
      </c>
      <c r="D225" s="4">
        <v>1</v>
      </c>
      <c r="E225" s="4">
        <v>231</v>
      </c>
      <c r="F225" s="4">
        <f>ROUND(Source!BB212,O225)</f>
        <v>0</v>
      </c>
      <c r="G225" s="4" t="s">
        <v>106</v>
      </c>
      <c r="H225" s="4" t="s">
        <v>107</v>
      </c>
      <c r="I225" s="4"/>
      <c r="J225" s="4"/>
      <c r="K225" s="4">
        <v>231</v>
      </c>
      <c r="L225" s="4">
        <v>12</v>
      </c>
      <c r="M225" s="4">
        <v>3</v>
      </c>
      <c r="N225" s="4" t="s">
        <v>3</v>
      </c>
      <c r="O225" s="4">
        <v>2</v>
      </c>
      <c r="P225" s="4"/>
      <c r="Q225" s="4"/>
      <c r="R225" s="4"/>
      <c r="S225" s="4"/>
      <c r="T225" s="4"/>
      <c r="U225" s="4"/>
      <c r="V225" s="4"/>
      <c r="W225" s="4">
        <v>0</v>
      </c>
      <c r="X225" s="4">
        <v>1</v>
      </c>
      <c r="Y225" s="4">
        <v>0</v>
      </c>
      <c r="Z225" s="4"/>
      <c r="AA225" s="4"/>
      <c r="AB225" s="4"/>
    </row>
    <row r="226" spans="1:28">
      <c r="A226" s="4">
        <v>50</v>
      </c>
      <c r="B226" s="4">
        <v>0</v>
      </c>
      <c r="C226" s="4">
        <v>0</v>
      </c>
      <c r="D226" s="4">
        <v>1</v>
      </c>
      <c r="E226" s="4">
        <v>204</v>
      </c>
      <c r="F226" s="4">
        <f>ROUND(Source!R212,O226)</f>
        <v>96.1</v>
      </c>
      <c r="G226" s="4" t="s">
        <v>108</v>
      </c>
      <c r="H226" s="4" t="s">
        <v>109</v>
      </c>
      <c r="I226" s="4"/>
      <c r="J226" s="4"/>
      <c r="K226" s="4">
        <v>204</v>
      </c>
      <c r="L226" s="4">
        <v>13</v>
      </c>
      <c r="M226" s="4">
        <v>3</v>
      </c>
      <c r="N226" s="4" t="s">
        <v>3</v>
      </c>
      <c r="O226" s="4">
        <v>2</v>
      </c>
      <c r="P226" s="4"/>
      <c r="Q226" s="4"/>
      <c r="R226" s="4"/>
      <c r="S226" s="4"/>
      <c r="T226" s="4"/>
      <c r="U226" s="4"/>
      <c r="V226" s="4"/>
      <c r="W226" s="4">
        <v>96.1</v>
      </c>
      <c r="X226" s="4">
        <v>1</v>
      </c>
      <c r="Y226" s="4">
        <v>2780.17</v>
      </c>
      <c r="Z226" s="4"/>
      <c r="AA226" s="4"/>
      <c r="AB226" s="4"/>
    </row>
    <row r="227" spans="1:28">
      <c r="A227" s="4">
        <v>50</v>
      </c>
      <c r="B227" s="4">
        <v>0</v>
      </c>
      <c r="C227" s="4">
        <v>0</v>
      </c>
      <c r="D227" s="4">
        <v>1</v>
      </c>
      <c r="E227" s="4">
        <v>205</v>
      </c>
      <c r="F227" s="4">
        <f>ROUND(Source!S212,O227)</f>
        <v>113.37</v>
      </c>
      <c r="G227" s="4" t="s">
        <v>110</v>
      </c>
      <c r="H227" s="4" t="s">
        <v>111</v>
      </c>
      <c r="I227" s="4"/>
      <c r="J227" s="4"/>
      <c r="K227" s="4">
        <v>205</v>
      </c>
      <c r="L227" s="4">
        <v>14</v>
      </c>
      <c r="M227" s="4">
        <v>3</v>
      </c>
      <c r="N227" s="4" t="s">
        <v>3</v>
      </c>
      <c r="O227" s="4">
        <v>2</v>
      </c>
      <c r="P227" s="4"/>
      <c r="Q227" s="4"/>
      <c r="R227" s="4"/>
      <c r="S227" s="4"/>
      <c r="T227" s="4"/>
      <c r="U227" s="4"/>
      <c r="V227" s="4"/>
      <c r="W227" s="4">
        <v>113.37</v>
      </c>
      <c r="X227" s="4">
        <v>1</v>
      </c>
      <c r="Y227" s="4">
        <v>3279.79</v>
      </c>
      <c r="Z227" s="4"/>
      <c r="AA227" s="4"/>
      <c r="AB227" s="4"/>
    </row>
    <row r="228" spans="1:28">
      <c r="A228" s="4">
        <v>50</v>
      </c>
      <c r="B228" s="4">
        <v>0</v>
      </c>
      <c r="C228" s="4">
        <v>0</v>
      </c>
      <c r="D228" s="4">
        <v>1</v>
      </c>
      <c r="E228" s="4">
        <v>232</v>
      </c>
      <c r="F228" s="4">
        <f>ROUND(Source!BC212,O228)</f>
        <v>0</v>
      </c>
      <c r="G228" s="4" t="s">
        <v>112</v>
      </c>
      <c r="H228" s="4" t="s">
        <v>113</v>
      </c>
      <c r="I228" s="4"/>
      <c r="J228" s="4"/>
      <c r="K228" s="4">
        <v>232</v>
      </c>
      <c r="L228" s="4">
        <v>15</v>
      </c>
      <c r="M228" s="4">
        <v>3</v>
      </c>
      <c r="N228" s="4" t="s">
        <v>3</v>
      </c>
      <c r="O228" s="4">
        <v>2</v>
      </c>
      <c r="P228" s="4"/>
      <c r="Q228" s="4"/>
      <c r="R228" s="4"/>
      <c r="S228" s="4"/>
      <c r="T228" s="4"/>
      <c r="U228" s="4"/>
      <c r="V228" s="4"/>
      <c r="W228" s="4">
        <v>0</v>
      </c>
      <c r="X228" s="4">
        <v>1</v>
      </c>
      <c r="Y228" s="4">
        <v>0</v>
      </c>
      <c r="Z228" s="4"/>
      <c r="AA228" s="4"/>
      <c r="AB228" s="4"/>
    </row>
    <row r="229" spans="1:28">
      <c r="A229" s="4">
        <v>50</v>
      </c>
      <c r="B229" s="4">
        <v>0</v>
      </c>
      <c r="C229" s="4">
        <v>0</v>
      </c>
      <c r="D229" s="4">
        <v>1</v>
      </c>
      <c r="E229" s="4">
        <v>214</v>
      </c>
      <c r="F229" s="4">
        <f>ROUND(Source!AS212,O229)</f>
        <v>2999.66</v>
      </c>
      <c r="G229" s="4" t="s">
        <v>114</v>
      </c>
      <c r="H229" s="4" t="s">
        <v>115</v>
      </c>
      <c r="I229" s="4"/>
      <c r="J229" s="4"/>
      <c r="K229" s="4">
        <v>214</v>
      </c>
      <c r="L229" s="4">
        <v>16</v>
      </c>
      <c r="M229" s="4">
        <v>3</v>
      </c>
      <c r="N229" s="4" t="s">
        <v>3</v>
      </c>
      <c r="O229" s="4">
        <v>2</v>
      </c>
      <c r="P229" s="4"/>
      <c r="Q229" s="4"/>
      <c r="R229" s="4"/>
      <c r="S229" s="4"/>
      <c r="T229" s="4"/>
      <c r="U229" s="4"/>
      <c r="V229" s="4"/>
      <c r="W229" s="4">
        <v>2999.66</v>
      </c>
      <c r="X229" s="4">
        <v>1</v>
      </c>
      <c r="Y229" s="4">
        <v>36436.649999999994</v>
      </c>
      <c r="Z229" s="4"/>
      <c r="AA229" s="4"/>
      <c r="AB229" s="4"/>
    </row>
    <row r="230" spans="1:28">
      <c r="A230" s="4">
        <v>50</v>
      </c>
      <c r="B230" s="4">
        <v>0</v>
      </c>
      <c r="C230" s="4">
        <v>0</v>
      </c>
      <c r="D230" s="4">
        <v>1</v>
      </c>
      <c r="E230" s="4">
        <v>215</v>
      </c>
      <c r="F230" s="4">
        <f>ROUND(Source!AT212,O230)</f>
        <v>24536.52</v>
      </c>
      <c r="G230" s="4" t="s">
        <v>116</v>
      </c>
      <c r="H230" s="4" t="s">
        <v>117</v>
      </c>
      <c r="I230" s="4"/>
      <c r="J230" s="4"/>
      <c r="K230" s="4">
        <v>215</v>
      </c>
      <c r="L230" s="4">
        <v>17</v>
      </c>
      <c r="M230" s="4">
        <v>3</v>
      </c>
      <c r="N230" s="4" t="s">
        <v>3</v>
      </c>
      <c r="O230" s="4">
        <v>2</v>
      </c>
      <c r="P230" s="4"/>
      <c r="Q230" s="4"/>
      <c r="R230" s="4"/>
      <c r="S230" s="4"/>
      <c r="T230" s="4"/>
      <c r="U230" s="4"/>
      <c r="V230" s="4"/>
      <c r="W230" s="4">
        <v>24536.52</v>
      </c>
      <c r="X230" s="4">
        <v>1</v>
      </c>
      <c r="Y230" s="4">
        <v>126363.08</v>
      </c>
      <c r="Z230" s="4"/>
      <c r="AA230" s="4"/>
      <c r="AB230" s="4"/>
    </row>
    <row r="231" spans="1:28">
      <c r="A231" s="4">
        <v>50</v>
      </c>
      <c r="B231" s="4">
        <v>0</v>
      </c>
      <c r="C231" s="4">
        <v>0</v>
      </c>
      <c r="D231" s="4">
        <v>1</v>
      </c>
      <c r="E231" s="4">
        <v>217</v>
      </c>
      <c r="F231" s="4">
        <f>ROUND(Source!AU212,O231)</f>
        <v>0</v>
      </c>
      <c r="G231" s="4" t="s">
        <v>118</v>
      </c>
      <c r="H231" s="4" t="s">
        <v>119</v>
      </c>
      <c r="I231" s="4"/>
      <c r="J231" s="4"/>
      <c r="K231" s="4">
        <v>217</v>
      </c>
      <c r="L231" s="4">
        <v>18</v>
      </c>
      <c r="M231" s="4">
        <v>3</v>
      </c>
      <c r="N231" s="4" t="s">
        <v>3</v>
      </c>
      <c r="O231" s="4">
        <v>2</v>
      </c>
      <c r="P231" s="4"/>
      <c r="Q231" s="4"/>
      <c r="R231" s="4"/>
      <c r="S231" s="4"/>
      <c r="T231" s="4"/>
      <c r="U231" s="4"/>
      <c r="V231" s="4"/>
      <c r="W231" s="4">
        <v>0</v>
      </c>
      <c r="X231" s="4">
        <v>1</v>
      </c>
      <c r="Y231" s="4">
        <v>0</v>
      </c>
      <c r="Z231" s="4"/>
      <c r="AA231" s="4"/>
      <c r="AB231" s="4"/>
    </row>
    <row r="232" spans="1:28">
      <c r="A232" s="4">
        <v>50</v>
      </c>
      <c r="B232" s="4">
        <v>0</v>
      </c>
      <c r="C232" s="4">
        <v>0</v>
      </c>
      <c r="D232" s="4">
        <v>1</v>
      </c>
      <c r="E232" s="4">
        <v>230</v>
      </c>
      <c r="F232" s="4">
        <f>ROUND(Source!BA212,O232)</f>
        <v>0</v>
      </c>
      <c r="G232" s="4" t="s">
        <v>120</v>
      </c>
      <c r="H232" s="4" t="s">
        <v>121</v>
      </c>
      <c r="I232" s="4"/>
      <c r="J232" s="4"/>
      <c r="K232" s="4">
        <v>230</v>
      </c>
      <c r="L232" s="4">
        <v>19</v>
      </c>
      <c r="M232" s="4">
        <v>3</v>
      </c>
      <c r="N232" s="4" t="s">
        <v>3</v>
      </c>
      <c r="O232" s="4">
        <v>2</v>
      </c>
      <c r="P232" s="4"/>
      <c r="Q232" s="4"/>
      <c r="R232" s="4"/>
      <c r="S232" s="4"/>
      <c r="T232" s="4"/>
      <c r="U232" s="4"/>
      <c r="V232" s="4"/>
      <c r="W232" s="4">
        <v>0</v>
      </c>
      <c r="X232" s="4">
        <v>1</v>
      </c>
      <c r="Y232" s="4">
        <v>0</v>
      </c>
      <c r="Z232" s="4"/>
      <c r="AA232" s="4"/>
      <c r="AB232" s="4"/>
    </row>
    <row r="233" spans="1:28">
      <c r="A233" s="4">
        <v>50</v>
      </c>
      <c r="B233" s="4">
        <v>0</v>
      </c>
      <c r="C233" s="4">
        <v>0</v>
      </c>
      <c r="D233" s="4">
        <v>1</v>
      </c>
      <c r="E233" s="4">
        <v>206</v>
      </c>
      <c r="F233" s="4">
        <f>ROUND(Source!T212,O233)</f>
        <v>0</v>
      </c>
      <c r="G233" s="4" t="s">
        <v>122</v>
      </c>
      <c r="H233" s="4" t="s">
        <v>123</v>
      </c>
      <c r="I233" s="4"/>
      <c r="J233" s="4"/>
      <c r="K233" s="4">
        <v>206</v>
      </c>
      <c r="L233" s="4">
        <v>20</v>
      </c>
      <c r="M233" s="4">
        <v>3</v>
      </c>
      <c r="N233" s="4" t="s">
        <v>3</v>
      </c>
      <c r="O233" s="4">
        <v>2</v>
      </c>
      <c r="P233" s="4"/>
      <c r="Q233" s="4"/>
      <c r="R233" s="4"/>
      <c r="S233" s="4"/>
      <c r="T233" s="4"/>
      <c r="U233" s="4"/>
      <c r="V233" s="4"/>
      <c r="W233" s="4">
        <v>0</v>
      </c>
      <c r="X233" s="4">
        <v>1</v>
      </c>
      <c r="Y233" s="4">
        <v>0</v>
      </c>
      <c r="Z233" s="4"/>
      <c r="AA233" s="4"/>
      <c r="AB233" s="4"/>
    </row>
    <row r="234" spans="1:28">
      <c r="A234" s="4">
        <v>50</v>
      </c>
      <c r="B234" s="4">
        <v>0</v>
      </c>
      <c r="C234" s="4">
        <v>0</v>
      </c>
      <c r="D234" s="4">
        <v>1</v>
      </c>
      <c r="E234" s="4">
        <v>207</v>
      </c>
      <c r="F234" s="4">
        <f>Source!U212</f>
        <v>21.407616449999995</v>
      </c>
      <c r="G234" s="4" t="s">
        <v>124</v>
      </c>
      <c r="H234" s="4" t="s">
        <v>125</v>
      </c>
      <c r="I234" s="4"/>
      <c r="J234" s="4"/>
      <c r="K234" s="4">
        <v>207</v>
      </c>
      <c r="L234" s="4">
        <v>21</v>
      </c>
      <c r="M234" s="4">
        <v>3</v>
      </c>
      <c r="N234" s="4" t="s">
        <v>3</v>
      </c>
      <c r="O234" s="4">
        <v>-1</v>
      </c>
      <c r="P234" s="4"/>
      <c r="Q234" s="4"/>
      <c r="R234" s="4"/>
      <c r="S234" s="4"/>
      <c r="T234" s="4"/>
      <c r="U234" s="4"/>
      <c r="V234" s="4"/>
      <c r="W234" s="4">
        <v>21.4076165</v>
      </c>
      <c r="X234" s="4">
        <v>1</v>
      </c>
      <c r="Y234" s="4">
        <v>21.4076165</v>
      </c>
      <c r="Z234" s="4"/>
      <c r="AA234" s="4"/>
      <c r="AB234" s="4"/>
    </row>
    <row r="235" spans="1:28">
      <c r="A235" s="4">
        <v>50</v>
      </c>
      <c r="B235" s="4">
        <v>0</v>
      </c>
      <c r="C235" s="4">
        <v>0</v>
      </c>
      <c r="D235" s="4">
        <v>1</v>
      </c>
      <c r="E235" s="4">
        <v>208</v>
      </c>
      <c r="F235" s="4">
        <f>Source!V212</f>
        <v>11.8345302</v>
      </c>
      <c r="G235" s="4" t="s">
        <v>126</v>
      </c>
      <c r="H235" s="4" t="s">
        <v>127</v>
      </c>
      <c r="I235" s="4"/>
      <c r="J235" s="4"/>
      <c r="K235" s="4">
        <v>208</v>
      </c>
      <c r="L235" s="4">
        <v>22</v>
      </c>
      <c r="M235" s="4">
        <v>3</v>
      </c>
      <c r="N235" s="4" t="s">
        <v>3</v>
      </c>
      <c r="O235" s="4">
        <v>-1</v>
      </c>
      <c r="P235" s="4"/>
      <c r="Q235" s="4"/>
      <c r="R235" s="4"/>
      <c r="S235" s="4"/>
      <c r="T235" s="4"/>
      <c r="U235" s="4"/>
      <c r="V235" s="4"/>
      <c r="W235" s="4">
        <v>11.8345302</v>
      </c>
      <c r="X235" s="4">
        <v>1</v>
      </c>
      <c r="Y235" s="4">
        <v>11.8345302</v>
      </c>
      <c r="Z235" s="4"/>
      <c r="AA235" s="4"/>
      <c r="AB235" s="4"/>
    </row>
    <row r="236" spans="1:28">
      <c r="A236" s="4">
        <v>50</v>
      </c>
      <c r="B236" s="4">
        <v>0</v>
      </c>
      <c r="C236" s="4">
        <v>0</v>
      </c>
      <c r="D236" s="4">
        <v>1</v>
      </c>
      <c r="E236" s="4">
        <v>209</v>
      </c>
      <c r="F236" s="4">
        <f>ROUND(Source!W212,O236)</f>
        <v>0</v>
      </c>
      <c r="G236" s="4" t="s">
        <v>128</v>
      </c>
      <c r="H236" s="4" t="s">
        <v>129</v>
      </c>
      <c r="I236" s="4"/>
      <c r="J236" s="4"/>
      <c r="K236" s="4">
        <v>209</v>
      </c>
      <c r="L236" s="4">
        <v>23</v>
      </c>
      <c r="M236" s="4">
        <v>3</v>
      </c>
      <c r="N236" s="4" t="s">
        <v>3</v>
      </c>
      <c r="O236" s="4">
        <v>2</v>
      </c>
      <c r="P236" s="4"/>
      <c r="Q236" s="4"/>
      <c r="R236" s="4"/>
      <c r="S236" s="4"/>
      <c r="T236" s="4"/>
      <c r="U236" s="4"/>
      <c r="V236" s="4"/>
      <c r="W236" s="4">
        <v>0</v>
      </c>
      <c r="X236" s="4">
        <v>1</v>
      </c>
      <c r="Y236" s="4">
        <v>0</v>
      </c>
      <c r="Z236" s="4"/>
      <c r="AA236" s="4"/>
      <c r="AB236" s="4"/>
    </row>
    <row r="237" spans="1:28">
      <c r="A237" s="4">
        <v>50</v>
      </c>
      <c r="B237" s="4">
        <v>0</v>
      </c>
      <c r="C237" s="4">
        <v>0</v>
      </c>
      <c r="D237" s="4">
        <v>1</v>
      </c>
      <c r="E237" s="4">
        <v>233</v>
      </c>
      <c r="F237" s="4">
        <f>ROUND(Source!BD212,O237)</f>
        <v>719.82</v>
      </c>
      <c r="G237" s="4" t="s">
        <v>130</v>
      </c>
      <c r="H237" s="4" t="s">
        <v>131</v>
      </c>
      <c r="I237" s="4"/>
      <c r="J237" s="4"/>
      <c r="K237" s="4">
        <v>233</v>
      </c>
      <c r="L237" s="4">
        <v>24</v>
      </c>
      <c r="M237" s="4">
        <v>3</v>
      </c>
      <c r="N237" s="4" t="s">
        <v>3</v>
      </c>
      <c r="O237" s="4">
        <v>2</v>
      </c>
      <c r="P237" s="4"/>
      <c r="Q237" s="4"/>
      <c r="R237" s="4"/>
      <c r="S237" s="4"/>
      <c r="T237" s="4"/>
      <c r="U237" s="4"/>
      <c r="V237" s="4"/>
      <c r="W237" s="4">
        <v>719.82</v>
      </c>
      <c r="X237" s="4">
        <v>1</v>
      </c>
      <c r="Y237" s="4">
        <v>5557.01</v>
      </c>
      <c r="Z237" s="4"/>
      <c r="AA237" s="4"/>
      <c r="AB237" s="4"/>
    </row>
    <row r="238" spans="1:28">
      <c r="A238" s="4">
        <v>50</v>
      </c>
      <c r="B238" s="4">
        <v>0</v>
      </c>
      <c r="C238" s="4">
        <v>0</v>
      </c>
      <c r="D238" s="4">
        <v>1</v>
      </c>
      <c r="E238" s="4">
        <v>0</v>
      </c>
      <c r="F238" s="4">
        <f>ROUND(Source!X212,O238)</f>
        <v>307.93</v>
      </c>
      <c r="G238" s="4" t="s">
        <v>132</v>
      </c>
      <c r="H238" s="4" t="s">
        <v>133</v>
      </c>
      <c r="I238" s="4"/>
      <c r="J238" s="4"/>
      <c r="K238" s="4">
        <v>210</v>
      </c>
      <c r="L238" s="4">
        <v>25</v>
      </c>
      <c r="M238" s="4">
        <v>3</v>
      </c>
      <c r="N238" s="4" t="s">
        <v>3</v>
      </c>
      <c r="O238" s="4">
        <v>2</v>
      </c>
      <c r="P238" s="4"/>
      <c r="Q238" s="4"/>
      <c r="R238" s="4"/>
      <c r="S238" s="4"/>
      <c r="T238" s="4"/>
      <c r="U238" s="4"/>
      <c r="V238" s="4"/>
      <c r="W238" s="4">
        <v>307.93</v>
      </c>
      <c r="X238" s="4">
        <v>1</v>
      </c>
      <c r="Y238" s="4">
        <v>8908.14</v>
      </c>
      <c r="Z238" s="4"/>
      <c r="AA238" s="4"/>
      <c r="AB238" s="4"/>
    </row>
    <row r="239" spans="1:28">
      <c r="A239" s="4">
        <v>50</v>
      </c>
      <c r="B239" s="4">
        <v>0</v>
      </c>
      <c r="C239" s="4">
        <v>0</v>
      </c>
      <c r="D239" s="4">
        <v>1</v>
      </c>
      <c r="E239" s="4">
        <v>0</v>
      </c>
      <c r="F239" s="4">
        <f>ROUND(Source!Y212,O239)</f>
        <v>243.74</v>
      </c>
      <c r="G239" s="4" t="s">
        <v>134</v>
      </c>
      <c r="H239" s="4" t="s">
        <v>135</v>
      </c>
      <c r="I239" s="4"/>
      <c r="J239" s="4"/>
      <c r="K239" s="4">
        <v>211</v>
      </c>
      <c r="L239" s="4">
        <v>26</v>
      </c>
      <c r="M239" s="4">
        <v>3</v>
      </c>
      <c r="N239" s="4" t="s">
        <v>3</v>
      </c>
      <c r="O239" s="4">
        <v>2</v>
      </c>
      <c r="P239" s="4"/>
      <c r="Q239" s="4"/>
      <c r="R239" s="4"/>
      <c r="S239" s="4"/>
      <c r="T239" s="4"/>
      <c r="U239" s="4"/>
      <c r="V239" s="4"/>
      <c r="W239" s="4">
        <v>243.74</v>
      </c>
      <c r="X239" s="4">
        <v>1</v>
      </c>
      <c r="Y239" s="4">
        <v>7051.42</v>
      </c>
      <c r="Z239" s="4"/>
      <c r="AA239" s="4"/>
      <c r="AB239" s="4"/>
    </row>
    <row r="240" spans="1:28">
      <c r="A240" s="4">
        <v>50</v>
      </c>
      <c r="B240" s="4">
        <v>0</v>
      </c>
      <c r="C240" s="4">
        <v>0</v>
      </c>
      <c r="D240" s="4">
        <v>1</v>
      </c>
      <c r="E240" s="4">
        <v>224</v>
      </c>
      <c r="F240" s="4">
        <f>ROUND(Source!AR212,O240)</f>
        <v>27536.18</v>
      </c>
      <c r="G240" s="4" t="s">
        <v>136</v>
      </c>
      <c r="H240" s="4" t="s">
        <v>137</v>
      </c>
      <c r="I240" s="4"/>
      <c r="J240" s="4"/>
      <c r="K240" s="4">
        <v>224</v>
      </c>
      <c r="L240" s="4">
        <v>27</v>
      </c>
      <c r="M240" s="4">
        <v>3</v>
      </c>
      <c r="N240" s="4" t="s">
        <v>3</v>
      </c>
      <c r="O240" s="4">
        <v>2</v>
      </c>
      <c r="P240" s="4"/>
      <c r="Q240" s="4"/>
      <c r="R240" s="4"/>
      <c r="S240" s="4"/>
      <c r="T240" s="4"/>
      <c r="U240" s="4"/>
      <c r="V240" s="4"/>
      <c r="W240" s="4">
        <v>27536.18</v>
      </c>
      <c r="X240" s="4">
        <v>1</v>
      </c>
      <c r="Y240" s="4">
        <v>162799.73000000001</v>
      </c>
      <c r="Z240" s="4"/>
      <c r="AA240" s="4"/>
      <c r="AB240" s="4"/>
    </row>
    <row r="241" spans="1:245">
      <c r="A241" s="4">
        <v>50</v>
      </c>
      <c r="B241" s="4">
        <v>1</v>
      </c>
      <c r="C241" s="4">
        <v>0</v>
      </c>
      <c r="D241" s="4">
        <v>2</v>
      </c>
      <c r="E241" s="4">
        <v>201</v>
      </c>
      <c r="F241" s="4">
        <f>ROUND(ROUND(F214,0),O241)</f>
        <v>26985</v>
      </c>
      <c r="G241" s="4" t="s">
        <v>138</v>
      </c>
      <c r="H241" s="4" t="s">
        <v>139</v>
      </c>
      <c r="I241" s="4"/>
      <c r="J241" s="4"/>
      <c r="K241" s="4">
        <v>212</v>
      </c>
      <c r="L241" s="4">
        <v>28</v>
      </c>
      <c r="M241" s="4">
        <v>0</v>
      </c>
      <c r="N241" s="4" t="s">
        <v>3</v>
      </c>
      <c r="O241" s="4">
        <v>0</v>
      </c>
      <c r="P241" s="4"/>
      <c r="Q241" s="4"/>
      <c r="R241" s="4"/>
      <c r="S241" s="4"/>
      <c r="T241" s="4"/>
      <c r="U241" s="4"/>
      <c r="V241" s="4"/>
      <c r="W241" s="4">
        <v>26985</v>
      </c>
      <c r="X241" s="4">
        <v>1</v>
      </c>
      <c r="Y241" s="4">
        <v>146840</v>
      </c>
      <c r="Z241" s="4"/>
      <c r="AA241" s="4"/>
      <c r="AB241" s="4"/>
    </row>
    <row r="242" spans="1:245">
      <c r="A242" s="4">
        <v>50</v>
      </c>
      <c r="B242" s="4">
        <v>1</v>
      </c>
      <c r="C242" s="4">
        <v>0</v>
      </c>
      <c r="D242" s="4">
        <v>2</v>
      </c>
      <c r="E242" s="4">
        <v>210</v>
      </c>
      <c r="F242" s="4">
        <f>ROUND(ROUND(F238,0),O242)</f>
        <v>308</v>
      </c>
      <c r="G242" s="4" t="s">
        <v>140</v>
      </c>
      <c r="H242" s="4" t="s">
        <v>133</v>
      </c>
      <c r="I242" s="4"/>
      <c r="J242" s="4"/>
      <c r="K242" s="4">
        <v>212</v>
      </c>
      <c r="L242" s="4">
        <v>29</v>
      </c>
      <c r="M242" s="4">
        <v>0</v>
      </c>
      <c r="N242" s="4" t="s">
        <v>3</v>
      </c>
      <c r="O242" s="4">
        <v>0</v>
      </c>
      <c r="P242" s="4"/>
      <c r="Q242" s="4"/>
      <c r="R242" s="4"/>
      <c r="S242" s="4"/>
      <c r="T242" s="4"/>
      <c r="U242" s="4"/>
      <c r="V242" s="4"/>
      <c r="W242" s="4">
        <v>308</v>
      </c>
      <c r="X242" s="4">
        <v>1</v>
      </c>
      <c r="Y242" s="4">
        <v>8908</v>
      </c>
      <c r="Z242" s="4"/>
      <c r="AA242" s="4"/>
      <c r="AB242" s="4"/>
    </row>
    <row r="243" spans="1:245">
      <c r="A243" s="4">
        <v>50</v>
      </c>
      <c r="B243" s="4">
        <v>1</v>
      </c>
      <c r="C243" s="4">
        <v>0</v>
      </c>
      <c r="D243" s="4">
        <v>2</v>
      </c>
      <c r="E243" s="4">
        <v>211</v>
      </c>
      <c r="F243" s="4">
        <f>ROUND(ROUND(F239,0),O243)</f>
        <v>244</v>
      </c>
      <c r="G243" s="4" t="s">
        <v>141</v>
      </c>
      <c r="H243" s="4" t="s">
        <v>135</v>
      </c>
      <c r="I243" s="4"/>
      <c r="J243" s="4"/>
      <c r="K243" s="4">
        <v>212</v>
      </c>
      <c r="L243" s="4">
        <v>30</v>
      </c>
      <c r="M243" s="4">
        <v>0</v>
      </c>
      <c r="N243" s="4" t="s">
        <v>3</v>
      </c>
      <c r="O243" s="4">
        <v>0</v>
      </c>
      <c r="P243" s="4"/>
      <c r="Q243" s="4"/>
      <c r="R243" s="4"/>
      <c r="S243" s="4"/>
      <c r="T243" s="4"/>
      <c r="U243" s="4"/>
      <c r="V243" s="4"/>
      <c r="W243" s="4">
        <v>244</v>
      </c>
      <c r="X243" s="4">
        <v>1</v>
      </c>
      <c r="Y243" s="4">
        <v>7051</v>
      </c>
      <c r="Z243" s="4"/>
      <c r="AA243" s="4"/>
      <c r="AB243" s="4"/>
    </row>
    <row r="244" spans="1:245">
      <c r="A244" s="4">
        <v>50</v>
      </c>
      <c r="B244" s="4">
        <v>1</v>
      </c>
      <c r="C244" s="4">
        <v>0</v>
      </c>
      <c r="D244" s="4">
        <v>2</v>
      </c>
      <c r="E244" s="4">
        <v>213</v>
      </c>
      <c r="F244" s="4">
        <f>ROUND(F241+F242+F243,O244)</f>
        <v>27537</v>
      </c>
      <c r="G244" s="4" t="s">
        <v>142</v>
      </c>
      <c r="H244" s="4" t="s">
        <v>143</v>
      </c>
      <c r="I244" s="4"/>
      <c r="J244" s="4"/>
      <c r="K244" s="4">
        <v>212</v>
      </c>
      <c r="L244" s="4">
        <v>31</v>
      </c>
      <c r="M244" s="4">
        <v>0</v>
      </c>
      <c r="N244" s="4" t="s">
        <v>3</v>
      </c>
      <c r="O244" s="4">
        <v>2</v>
      </c>
      <c r="P244" s="4"/>
      <c r="Q244" s="4"/>
      <c r="R244" s="4"/>
      <c r="S244" s="4"/>
      <c r="T244" s="4"/>
      <c r="U244" s="4"/>
      <c r="V244" s="4"/>
      <c r="W244" s="4">
        <v>27537</v>
      </c>
      <c r="X244" s="4">
        <v>1</v>
      </c>
      <c r="Y244" s="4">
        <v>162799</v>
      </c>
      <c r="Z244" s="4"/>
      <c r="AA244" s="4"/>
      <c r="AB244" s="4"/>
    </row>
    <row r="245" spans="1:245">
      <c r="A245" s="4">
        <v>50</v>
      </c>
      <c r="B245" s="4">
        <v>1</v>
      </c>
      <c r="C245" s="4">
        <v>0</v>
      </c>
      <c r="D245" s="4">
        <v>2</v>
      </c>
      <c r="E245" s="4">
        <v>0</v>
      </c>
      <c r="F245" s="4">
        <v>2999.66</v>
      </c>
      <c r="G245" s="4" t="s">
        <v>144</v>
      </c>
      <c r="H245" s="4" t="s">
        <v>145</v>
      </c>
      <c r="I245" s="4"/>
      <c r="J245" s="4"/>
      <c r="K245" s="4">
        <v>212</v>
      </c>
      <c r="L245" s="4">
        <v>32</v>
      </c>
      <c r="M245" s="4">
        <v>1</v>
      </c>
      <c r="N245" s="4" t="s">
        <v>3</v>
      </c>
      <c r="O245" s="4">
        <v>2</v>
      </c>
      <c r="P245" s="4"/>
      <c r="Q245" s="4"/>
      <c r="R245" s="4"/>
      <c r="S245" s="4"/>
      <c r="T245" s="4"/>
      <c r="U245" s="4"/>
      <c r="V245" s="4"/>
      <c r="W245" s="4">
        <v>2999.66</v>
      </c>
      <c r="X245" s="4">
        <v>1</v>
      </c>
      <c r="Y245" s="4">
        <v>2999.66</v>
      </c>
      <c r="Z245" s="4"/>
      <c r="AA245" s="4"/>
      <c r="AB245" s="4"/>
    </row>
    <row r="246" spans="1:245">
      <c r="A246" s="4">
        <v>50</v>
      </c>
      <c r="B246" s="4">
        <v>1</v>
      </c>
      <c r="C246" s="4">
        <v>0</v>
      </c>
      <c r="D246" s="4">
        <v>2</v>
      </c>
      <c r="E246" s="4">
        <v>0</v>
      </c>
      <c r="F246" s="4">
        <v>24536.52</v>
      </c>
      <c r="G246" s="4" t="s">
        <v>146</v>
      </c>
      <c r="H246" s="4" t="s">
        <v>147</v>
      </c>
      <c r="I246" s="4"/>
      <c r="J246" s="4"/>
      <c r="K246" s="4">
        <v>212</v>
      </c>
      <c r="L246" s="4">
        <v>33</v>
      </c>
      <c r="M246" s="4">
        <v>1</v>
      </c>
      <c r="N246" s="4" t="s">
        <v>3</v>
      </c>
      <c r="O246" s="4">
        <v>2</v>
      </c>
      <c r="P246" s="4"/>
      <c r="Q246" s="4"/>
      <c r="R246" s="4"/>
      <c r="S246" s="4"/>
      <c r="T246" s="4"/>
      <c r="U246" s="4"/>
      <c r="V246" s="4"/>
      <c r="W246" s="4">
        <v>24536.52</v>
      </c>
      <c r="X246" s="4">
        <v>1</v>
      </c>
      <c r="Y246" s="4">
        <v>24536.52</v>
      </c>
      <c r="Z246" s="4"/>
      <c r="AA246" s="4"/>
      <c r="AB246" s="4"/>
    </row>
    <row r="247" spans="1:245">
      <c r="A247" s="4">
        <v>50</v>
      </c>
      <c r="B247" s="4">
        <v>0</v>
      </c>
      <c r="C247" s="4">
        <v>0</v>
      </c>
      <c r="D247" s="4">
        <v>2</v>
      </c>
      <c r="E247" s="4">
        <v>0</v>
      </c>
      <c r="F247" s="4">
        <v>0</v>
      </c>
      <c r="G247" s="4" t="s">
        <v>148</v>
      </c>
      <c r="H247" s="4" t="s">
        <v>149</v>
      </c>
      <c r="I247" s="4"/>
      <c r="J247" s="4"/>
      <c r="K247" s="4">
        <v>212</v>
      </c>
      <c r="L247" s="4">
        <v>34</v>
      </c>
      <c r="M247" s="4">
        <v>1</v>
      </c>
      <c r="N247" s="4" t="s">
        <v>3</v>
      </c>
      <c r="O247" s="4">
        <v>2</v>
      </c>
      <c r="P247" s="4"/>
      <c r="Q247" s="4"/>
      <c r="R247" s="4"/>
      <c r="S247" s="4"/>
      <c r="T247" s="4"/>
      <c r="U247" s="4"/>
      <c r="V247" s="4"/>
      <c r="W247" s="4">
        <v>0</v>
      </c>
      <c r="X247" s="4">
        <v>1</v>
      </c>
      <c r="Y247" s="4">
        <v>0</v>
      </c>
      <c r="Z247" s="4"/>
      <c r="AA247" s="4"/>
      <c r="AB247" s="4"/>
    </row>
    <row r="248" spans="1:245">
      <c r="A248" s="4">
        <v>50</v>
      </c>
      <c r="B248" s="4">
        <v>0</v>
      </c>
      <c r="C248" s="4">
        <v>0</v>
      </c>
      <c r="D248" s="4">
        <v>2</v>
      </c>
      <c r="E248" s="4">
        <v>0</v>
      </c>
      <c r="F248" s="4">
        <v>0</v>
      </c>
      <c r="G248" s="4" t="s">
        <v>150</v>
      </c>
      <c r="H248" s="4" t="s">
        <v>151</v>
      </c>
      <c r="I248" s="4"/>
      <c r="J248" s="4"/>
      <c r="K248" s="4">
        <v>212</v>
      </c>
      <c r="L248" s="4">
        <v>35</v>
      </c>
      <c r="M248" s="4">
        <v>1</v>
      </c>
      <c r="N248" s="4" t="s">
        <v>3</v>
      </c>
      <c r="O248" s="4">
        <v>2</v>
      </c>
      <c r="P248" s="4"/>
      <c r="Q248" s="4"/>
      <c r="R248" s="4"/>
      <c r="S248" s="4"/>
      <c r="T248" s="4"/>
      <c r="U248" s="4"/>
      <c r="V248" s="4"/>
      <c r="W248" s="4">
        <v>0</v>
      </c>
      <c r="X248" s="4">
        <v>1</v>
      </c>
      <c r="Y248" s="4">
        <v>0</v>
      </c>
      <c r="Z248" s="4"/>
      <c r="AA248" s="4"/>
      <c r="AB248" s="4"/>
    </row>
    <row r="249" spans="1:245">
      <c r="A249" s="4">
        <v>50</v>
      </c>
      <c r="B249" s="4">
        <f>IF(Source!F249=0,1,0)</f>
        <v>0</v>
      </c>
      <c r="C249" s="4">
        <v>0</v>
      </c>
      <c r="D249" s="4">
        <v>2</v>
      </c>
      <c r="E249" s="4">
        <v>0</v>
      </c>
      <c r="F249" s="4">
        <f>ROUND(ROUND((F244-F245-F246-F247-F248),0),O249)</f>
        <v>1</v>
      </c>
      <c r="G249" s="4" t="s">
        <v>152</v>
      </c>
      <c r="H249" s="4" t="s">
        <v>153</v>
      </c>
      <c r="I249" s="4"/>
      <c r="J249" s="4"/>
      <c r="K249" s="4">
        <v>212</v>
      </c>
      <c r="L249" s="4">
        <v>36</v>
      </c>
      <c r="M249" s="4">
        <v>2</v>
      </c>
      <c r="N249" s="4" t="s">
        <v>3</v>
      </c>
      <c r="O249" s="4">
        <v>0</v>
      </c>
      <c r="P249" s="4"/>
      <c r="Q249" s="4"/>
      <c r="R249" s="4"/>
      <c r="S249" s="4"/>
      <c r="T249" s="4"/>
      <c r="U249" s="4"/>
      <c r="V249" s="4"/>
      <c r="W249" s="4">
        <v>1</v>
      </c>
      <c r="X249" s="4">
        <v>1</v>
      </c>
      <c r="Y249" s="4">
        <v>135263</v>
      </c>
      <c r="Z249" s="4"/>
      <c r="AA249" s="4"/>
      <c r="AB249" s="4"/>
    </row>
    <row r="251" spans="1:245">
      <c r="A251" s="1">
        <v>4</v>
      </c>
      <c r="B251" s="1">
        <v>1</v>
      </c>
      <c r="C251" s="1"/>
      <c r="D251" s="1">
        <f>ROW(A263)</f>
        <v>263</v>
      </c>
      <c r="E251" s="1"/>
      <c r="F251" s="1" t="s">
        <v>13</v>
      </c>
      <c r="G251" s="1" t="s">
        <v>350</v>
      </c>
      <c r="H251" s="1" t="s">
        <v>3</v>
      </c>
      <c r="I251" s="1">
        <v>0</v>
      </c>
      <c r="J251" s="1"/>
      <c r="K251" s="1">
        <v>0</v>
      </c>
      <c r="L251" s="1"/>
      <c r="M251" s="1" t="s">
        <v>3</v>
      </c>
      <c r="N251" s="1"/>
      <c r="O251" s="1"/>
      <c r="P251" s="1"/>
      <c r="Q251" s="1"/>
      <c r="R251" s="1"/>
      <c r="S251" s="1">
        <v>47920235</v>
      </c>
      <c r="T251" s="1"/>
      <c r="U251" s="1" t="s">
        <v>3</v>
      </c>
      <c r="V251" s="1">
        <v>0</v>
      </c>
      <c r="W251" s="1"/>
      <c r="X251" s="1"/>
      <c r="Y251" s="1"/>
      <c r="Z251" s="1"/>
      <c r="AA251" s="1"/>
      <c r="AB251" s="1" t="s">
        <v>3</v>
      </c>
      <c r="AC251" s="1" t="s">
        <v>3</v>
      </c>
      <c r="AD251" s="1" t="s">
        <v>3</v>
      </c>
      <c r="AE251" s="1" t="s">
        <v>3</v>
      </c>
      <c r="AF251" s="1" t="s">
        <v>3</v>
      </c>
      <c r="AG251" s="1" t="s">
        <v>3</v>
      </c>
      <c r="AH251" s="1"/>
      <c r="AI251" s="1"/>
      <c r="AJ251" s="1"/>
      <c r="AK251" s="1"/>
      <c r="AL251" s="1"/>
      <c r="AM251" s="1"/>
      <c r="AN251" s="1"/>
      <c r="AO251" s="1"/>
      <c r="AP251" s="1" t="s">
        <v>3</v>
      </c>
      <c r="AQ251" s="1" t="s">
        <v>3</v>
      </c>
      <c r="AR251" s="1" t="s">
        <v>3</v>
      </c>
      <c r="AS251" s="1"/>
      <c r="AT251" s="1"/>
      <c r="AU251" s="1"/>
      <c r="AV251" s="1"/>
      <c r="AW251" s="1"/>
      <c r="AX251" s="1"/>
      <c r="AY251" s="1"/>
      <c r="AZ251" s="1" t="s">
        <v>3</v>
      </c>
      <c r="BA251" s="1"/>
      <c r="BB251" s="1" t="s">
        <v>3</v>
      </c>
      <c r="BC251" s="1" t="s">
        <v>3</v>
      </c>
      <c r="BD251" s="1" t="s">
        <v>3</v>
      </c>
      <c r="BE251" s="1" t="s">
        <v>3</v>
      </c>
      <c r="BF251" s="1" t="s">
        <v>3</v>
      </c>
      <c r="BG251" s="1" t="s">
        <v>3</v>
      </c>
      <c r="BH251" s="1" t="s">
        <v>3</v>
      </c>
      <c r="BI251" s="1" t="s">
        <v>3</v>
      </c>
      <c r="BJ251" s="1" t="s">
        <v>3</v>
      </c>
      <c r="BK251" s="1" t="s">
        <v>3</v>
      </c>
      <c r="BL251" s="1" t="s">
        <v>3</v>
      </c>
      <c r="BM251" s="1" t="s">
        <v>3</v>
      </c>
      <c r="BN251" s="1" t="s">
        <v>3</v>
      </c>
      <c r="BO251" s="1" t="s">
        <v>3</v>
      </c>
      <c r="BP251" s="1" t="s">
        <v>3</v>
      </c>
      <c r="BQ251" s="1"/>
      <c r="BR251" s="1"/>
      <c r="BS251" s="1"/>
      <c r="BT251" s="1"/>
      <c r="BU251" s="1"/>
      <c r="BV251" s="1"/>
      <c r="BW251" s="1"/>
      <c r="BX251" s="1">
        <v>0</v>
      </c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>
        <v>0</v>
      </c>
    </row>
    <row r="253" spans="1:245">
      <c r="A253" s="2">
        <v>52</v>
      </c>
      <c r="B253" s="2">
        <f t="shared" ref="B253:G253" si="179">B263</f>
        <v>1</v>
      </c>
      <c r="C253" s="2">
        <f t="shared" si="179"/>
        <v>4</v>
      </c>
      <c r="D253" s="2">
        <f t="shared" si="179"/>
        <v>251</v>
      </c>
      <c r="E253" s="2">
        <f t="shared" si="179"/>
        <v>0</v>
      </c>
      <c r="F253" s="2" t="str">
        <f t="shared" si="179"/>
        <v>Новый раздел</v>
      </c>
      <c r="G253" s="2" t="str">
        <f t="shared" si="179"/>
        <v>Материалы</v>
      </c>
      <c r="H253" s="2"/>
      <c r="I253" s="2"/>
      <c r="J253" s="2"/>
      <c r="K253" s="2"/>
      <c r="L253" s="2"/>
      <c r="M253" s="2"/>
      <c r="N253" s="2"/>
      <c r="O253" s="2">
        <f t="shared" ref="O253:AT253" si="180">O263</f>
        <v>293980.61</v>
      </c>
      <c r="P253" s="2">
        <f t="shared" si="180"/>
        <v>293980.61</v>
      </c>
      <c r="Q253" s="2">
        <f t="shared" si="180"/>
        <v>0</v>
      </c>
      <c r="R253" s="2">
        <f t="shared" si="180"/>
        <v>0</v>
      </c>
      <c r="S253" s="2">
        <f t="shared" si="180"/>
        <v>0</v>
      </c>
      <c r="T253" s="2">
        <f t="shared" si="180"/>
        <v>0</v>
      </c>
      <c r="U253" s="2">
        <f t="shared" si="180"/>
        <v>0</v>
      </c>
      <c r="V253" s="2">
        <f t="shared" si="180"/>
        <v>0</v>
      </c>
      <c r="W253" s="2">
        <f t="shared" si="180"/>
        <v>0</v>
      </c>
      <c r="X253" s="2">
        <f t="shared" si="180"/>
        <v>0</v>
      </c>
      <c r="Y253" s="2">
        <f t="shared" si="180"/>
        <v>0</v>
      </c>
      <c r="Z253" s="2">
        <f t="shared" si="180"/>
        <v>0</v>
      </c>
      <c r="AA253" s="2">
        <f t="shared" si="180"/>
        <v>0</v>
      </c>
      <c r="AB253" s="2">
        <f t="shared" si="180"/>
        <v>293980.61</v>
      </c>
      <c r="AC253" s="2">
        <f t="shared" si="180"/>
        <v>293980.61</v>
      </c>
      <c r="AD253" s="2">
        <f t="shared" si="180"/>
        <v>0</v>
      </c>
      <c r="AE253" s="2">
        <f t="shared" si="180"/>
        <v>0</v>
      </c>
      <c r="AF253" s="2">
        <f t="shared" si="180"/>
        <v>0</v>
      </c>
      <c r="AG253" s="2">
        <f t="shared" si="180"/>
        <v>0</v>
      </c>
      <c r="AH253" s="2">
        <f t="shared" si="180"/>
        <v>0</v>
      </c>
      <c r="AI253" s="2">
        <f t="shared" si="180"/>
        <v>0</v>
      </c>
      <c r="AJ253" s="2">
        <f t="shared" si="180"/>
        <v>0</v>
      </c>
      <c r="AK253" s="2">
        <f t="shared" si="180"/>
        <v>0</v>
      </c>
      <c r="AL253" s="2">
        <f t="shared" si="180"/>
        <v>0</v>
      </c>
      <c r="AM253" s="2">
        <f t="shared" si="180"/>
        <v>0</v>
      </c>
      <c r="AN253" s="2">
        <f t="shared" si="180"/>
        <v>0</v>
      </c>
      <c r="AO253" s="2">
        <f t="shared" si="180"/>
        <v>0</v>
      </c>
      <c r="AP253" s="2">
        <f t="shared" si="180"/>
        <v>0</v>
      </c>
      <c r="AQ253" s="2">
        <f t="shared" si="180"/>
        <v>0</v>
      </c>
      <c r="AR253" s="2">
        <f t="shared" si="180"/>
        <v>293980.61</v>
      </c>
      <c r="AS253" s="2">
        <f t="shared" si="180"/>
        <v>3660</v>
      </c>
      <c r="AT253" s="2">
        <f t="shared" si="180"/>
        <v>290320.61</v>
      </c>
      <c r="AU253" s="2">
        <f t="shared" ref="AU253:BZ253" si="181">AU263</f>
        <v>0</v>
      </c>
      <c r="AV253" s="2">
        <f t="shared" si="181"/>
        <v>293980.61</v>
      </c>
      <c r="AW253" s="2">
        <f t="shared" si="181"/>
        <v>293980.61</v>
      </c>
      <c r="AX253" s="2">
        <f t="shared" si="181"/>
        <v>0</v>
      </c>
      <c r="AY253" s="2">
        <f t="shared" si="181"/>
        <v>293980.61</v>
      </c>
      <c r="AZ253" s="2">
        <f t="shared" si="181"/>
        <v>0</v>
      </c>
      <c r="BA253" s="2">
        <f t="shared" si="181"/>
        <v>0</v>
      </c>
      <c r="BB253" s="2">
        <f t="shared" si="181"/>
        <v>0</v>
      </c>
      <c r="BC253" s="2">
        <f t="shared" si="181"/>
        <v>0</v>
      </c>
      <c r="BD253" s="2">
        <f t="shared" si="181"/>
        <v>0</v>
      </c>
      <c r="BE253" s="2">
        <f t="shared" si="181"/>
        <v>0</v>
      </c>
      <c r="BF253" s="2">
        <f t="shared" si="181"/>
        <v>0</v>
      </c>
      <c r="BG253" s="2">
        <f t="shared" si="181"/>
        <v>0</v>
      </c>
      <c r="BH253" s="2">
        <f t="shared" si="181"/>
        <v>0</v>
      </c>
      <c r="BI253" s="2">
        <f t="shared" si="181"/>
        <v>0</v>
      </c>
      <c r="BJ253" s="2">
        <f t="shared" si="181"/>
        <v>0</v>
      </c>
      <c r="BK253" s="2">
        <f t="shared" si="181"/>
        <v>0</v>
      </c>
      <c r="BL253" s="2">
        <f t="shared" si="181"/>
        <v>0</v>
      </c>
      <c r="BM253" s="2">
        <f t="shared" si="181"/>
        <v>0</v>
      </c>
      <c r="BN253" s="2">
        <f t="shared" si="181"/>
        <v>0</v>
      </c>
      <c r="BO253" s="2">
        <f t="shared" si="181"/>
        <v>0</v>
      </c>
      <c r="BP253" s="2">
        <f t="shared" si="181"/>
        <v>0</v>
      </c>
      <c r="BQ253" s="2">
        <f t="shared" si="181"/>
        <v>0</v>
      </c>
      <c r="BR253" s="2">
        <f t="shared" si="181"/>
        <v>0</v>
      </c>
      <c r="BS253" s="2">
        <f t="shared" si="181"/>
        <v>0</v>
      </c>
      <c r="BT253" s="2">
        <f t="shared" si="181"/>
        <v>0</v>
      </c>
      <c r="BU253" s="2">
        <f t="shared" si="181"/>
        <v>0</v>
      </c>
      <c r="BV253" s="2">
        <f t="shared" si="181"/>
        <v>0</v>
      </c>
      <c r="BW253" s="2">
        <f t="shared" si="181"/>
        <v>0</v>
      </c>
      <c r="BX253" s="2">
        <f t="shared" si="181"/>
        <v>0</v>
      </c>
      <c r="BY253" s="2">
        <f t="shared" si="181"/>
        <v>0</v>
      </c>
      <c r="BZ253" s="2">
        <f t="shared" si="181"/>
        <v>0</v>
      </c>
      <c r="CA253" s="2">
        <f t="shared" ref="CA253:DF253" si="182">CA263</f>
        <v>293980.61</v>
      </c>
      <c r="CB253" s="2">
        <f t="shared" si="182"/>
        <v>3660</v>
      </c>
      <c r="CC253" s="2">
        <f t="shared" si="182"/>
        <v>290320.61</v>
      </c>
      <c r="CD253" s="2">
        <f t="shared" si="182"/>
        <v>0</v>
      </c>
      <c r="CE253" s="2">
        <f t="shared" si="182"/>
        <v>293980.61</v>
      </c>
      <c r="CF253" s="2">
        <f t="shared" si="182"/>
        <v>293980.61</v>
      </c>
      <c r="CG253" s="2">
        <f t="shared" si="182"/>
        <v>0</v>
      </c>
      <c r="CH253" s="2">
        <f t="shared" si="182"/>
        <v>293980.61</v>
      </c>
      <c r="CI253" s="2">
        <f t="shared" si="182"/>
        <v>0</v>
      </c>
      <c r="CJ253" s="2">
        <f t="shared" si="182"/>
        <v>0</v>
      </c>
      <c r="CK253" s="2">
        <f t="shared" si="182"/>
        <v>0</v>
      </c>
      <c r="CL253" s="2">
        <f t="shared" si="182"/>
        <v>0</v>
      </c>
      <c r="CM253" s="2">
        <f t="shared" si="182"/>
        <v>0</v>
      </c>
      <c r="CN253" s="2">
        <f t="shared" si="182"/>
        <v>0</v>
      </c>
      <c r="CO253" s="2">
        <f t="shared" si="182"/>
        <v>0</v>
      </c>
      <c r="CP253" s="2">
        <f t="shared" si="182"/>
        <v>0</v>
      </c>
      <c r="CQ253" s="2">
        <f t="shared" si="182"/>
        <v>0</v>
      </c>
      <c r="CR253" s="2">
        <f t="shared" si="182"/>
        <v>0</v>
      </c>
      <c r="CS253" s="2">
        <f t="shared" si="182"/>
        <v>0</v>
      </c>
      <c r="CT253" s="2">
        <f t="shared" si="182"/>
        <v>0</v>
      </c>
      <c r="CU253" s="2">
        <f t="shared" si="182"/>
        <v>0</v>
      </c>
      <c r="CV253" s="2">
        <f t="shared" si="182"/>
        <v>0</v>
      </c>
      <c r="CW253" s="2">
        <f t="shared" si="182"/>
        <v>0</v>
      </c>
      <c r="CX253" s="2">
        <f t="shared" si="182"/>
        <v>0</v>
      </c>
      <c r="CY253" s="2">
        <f t="shared" si="182"/>
        <v>0</v>
      </c>
      <c r="CZ253" s="2">
        <f t="shared" si="182"/>
        <v>0</v>
      </c>
      <c r="DA253" s="2">
        <f t="shared" si="182"/>
        <v>0</v>
      </c>
      <c r="DB253" s="2">
        <f t="shared" si="182"/>
        <v>0</v>
      </c>
      <c r="DC253" s="2">
        <f t="shared" si="182"/>
        <v>0</v>
      </c>
      <c r="DD253" s="2">
        <f t="shared" si="182"/>
        <v>0</v>
      </c>
      <c r="DE253" s="2">
        <f t="shared" si="182"/>
        <v>0</v>
      </c>
      <c r="DF253" s="2">
        <f t="shared" si="182"/>
        <v>0</v>
      </c>
      <c r="DG253" s="3">
        <f t="shared" ref="DG253:EL253" si="183">DG263</f>
        <v>0</v>
      </c>
      <c r="DH253" s="3">
        <f t="shared" si="183"/>
        <v>0</v>
      </c>
      <c r="DI253" s="3">
        <f t="shared" si="183"/>
        <v>0</v>
      </c>
      <c r="DJ253" s="3">
        <f t="shared" si="183"/>
        <v>0</v>
      </c>
      <c r="DK253" s="3">
        <f t="shared" si="183"/>
        <v>0</v>
      </c>
      <c r="DL253" s="3">
        <f t="shared" si="183"/>
        <v>0</v>
      </c>
      <c r="DM253" s="3">
        <f t="shared" si="183"/>
        <v>0</v>
      </c>
      <c r="DN253" s="3">
        <f t="shared" si="183"/>
        <v>0</v>
      </c>
      <c r="DO253" s="3">
        <f t="shared" si="183"/>
        <v>0</v>
      </c>
      <c r="DP253" s="3">
        <f t="shared" si="183"/>
        <v>0</v>
      </c>
      <c r="DQ253" s="3">
        <f t="shared" si="183"/>
        <v>0</v>
      </c>
      <c r="DR253" s="3">
        <f t="shared" si="183"/>
        <v>0</v>
      </c>
      <c r="DS253" s="3">
        <f t="shared" si="183"/>
        <v>0</v>
      </c>
      <c r="DT253" s="3">
        <f t="shared" si="183"/>
        <v>0</v>
      </c>
      <c r="DU253" s="3">
        <f t="shared" si="183"/>
        <v>0</v>
      </c>
      <c r="DV253" s="3">
        <f t="shared" si="183"/>
        <v>0</v>
      </c>
      <c r="DW253" s="3">
        <f t="shared" si="183"/>
        <v>0</v>
      </c>
      <c r="DX253" s="3">
        <f t="shared" si="183"/>
        <v>0</v>
      </c>
      <c r="DY253" s="3">
        <f t="shared" si="183"/>
        <v>0</v>
      </c>
      <c r="DZ253" s="3">
        <f t="shared" si="183"/>
        <v>0</v>
      </c>
      <c r="EA253" s="3">
        <f t="shared" si="183"/>
        <v>0</v>
      </c>
      <c r="EB253" s="3">
        <f t="shared" si="183"/>
        <v>0</v>
      </c>
      <c r="EC253" s="3">
        <f t="shared" si="183"/>
        <v>0</v>
      </c>
      <c r="ED253" s="3">
        <f t="shared" si="183"/>
        <v>0</v>
      </c>
      <c r="EE253" s="3">
        <f t="shared" si="183"/>
        <v>0</v>
      </c>
      <c r="EF253" s="3">
        <f t="shared" si="183"/>
        <v>0</v>
      </c>
      <c r="EG253" s="3">
        <f t="shared" si="183"/>
        <v>0</v>
      </c>
      <c r="EH253" s="3">
        <f t="shared" si="183"/>
        <v>0</v>
      </c>
      <c r="EI253" s="3">
        <f t="shared" si="183"/>
        <v>0</v>
      </c>
      <c r="EJ253" s="3">
        <f t="shared" si="183"/>
        <v>0</v>
      </c>
      <c r="EK253" s="3">
        <f t="shared" si="183"/>
        <v>0</v>
      </c>
      <c r="EL253" s="3">
        <f t="shared" si="183"/>
        <v>0</v>
      </c>
      <c r="EM253" s="3">
        <f t="shared" ref="EM253:FR253" si="184">EM263</f>
        <v>0</v>
      </c>
      <c r="EN253" s="3">
        <f t="shared" si="184"/>
        <v>0</v>
      </c>
      <c r="EO253" s="3">
        <f t="shared" si="184"/>
        <v>0</v>
      </c>
      <c r="EP253" s="3">
        <f t="shared" si="184"/>
        <v>0</v>
      </c>
      <c r="EQ253" s="3">
        <f t="shared" si="184"/>
        <v>0</v>
      </c>
      <c r="ER253" s="3">
        <f t="shared" si="184"/>
        <v>0</v>
      </c>
      <c r="ES253" s="3">
        <f t="shared" si="184"/>
        <v>0</v>
      </c>
      <c r="ET253" s="3">
        <f t="shared" si="184"/>
        <v>0</v>
      </c>
      <c r="EU253" s="3">
        <f t="shared" si="184"/>
        <v>0</v>
      </c>
      <c r="EV253" s="3">
        <f t="shared" si="184"/>
        <v>0</v>
      </c>
      <c r="EW253" s="3">
        <f t="shared" si="184"/>
        <v>0</v>
      </c>
      <c r="EX253" s="3">
        <f t="shared" si="184"/>
        <v>0</v>
      </c>
      <c r="EY253" s="3">
        <f t="shared" si="184"/>
        <v>0</v>
      </c>
      <c r="EZ253" s="3">
        <f t="shared" si="184"/>
        <v>0</v>
      </c>
      <c r="FA253" s="3">
        <f t="shared" si="184"/>
        <v>0</v>
      </c>
      <c r="FB253" s="3">
        <f t="shared" si="184"/>
        <v>0</v>
      </c>
      <c r="FC253" s="3">
        <f t="shared" si="184"/>
        <v>0</v>
      </c>
      <c r="FD253" s="3">
        <f t="shared" si="184"/>
        <v>0</v>
      </c>
      <c r="FE253" s="3">
        <f t="shared" si="184"/>
        <v>0</v>
      </c>
      <c r="FF253" s="3">
        <f t="shared" si="184"/>
        <v>0</v>
      </c>
      <c r="FG253" s="3">
        <f t="shared" si="184"/>
        <v>0</v>
      </c>
      <c r="FH253" s="3">
        <f t="shared" si="184"/>
        <v>0</v>
      </c>
      <c r="FI253" s="3">
        <f t="shared" si="184"/>
        <v>0</v>
      </c>
      <c r="FJ253" s="3">
        <f t="shared" si="184"/>
        <v>0</v>
      </c>
      <c r="FK253" s="3">
        <f t="shared" si="184"/>
        <v>0</v>
      </c>
      <c r="FL253" s="3">
        <f t="shared" si="184"/>
        <v>0</v>
      </c>
      <c r="FM253" s="3">
        <f t="shared" si="184"/>
        <v>0</v>
      </c>
      <c r="FN253" s="3">
        <f t="shared" si="184"/>
        <v>0</v>
      </c>
      <c r="FO253" s="3">
        <f t="shared" si="184"/>
        <v>0</v>
      </c>
      <c r="FP253" s="3">
        <f t="shared" si="184"/>
        <v>0</v>
      </c>
      <c r="FQ253" s="3">
        <f t="shared" si="184"/>
        <v>0</v>
      </c>
      <c r="FR253" s="3">
        <f t="shared" si="184"/>
        <v>0</v>
      </c>
      <c r="FS253" s="3">
        <f t="shared" ref="FS253:GX253" si="185">FS263</f>
        <v>0</v>
      </c>
      <c r="FT253" s="3">
        <f t="shared" si="185"/>
        <v>0</v>
      </c>
      <c r="FU253" s="3">
        <f t="shared" si="185"/>
        <v>0</v>
      </c>
      <c r="FV253" s="3">
        <f t="shared" si="185"/>
        <v>0</v>
      </c>
      <c r="FW253" s="3">
        <f t="shared" si="185"/>
        <v>0</v>
      </c>
      <c r="FX253" s="3">
        <f t="shared" si="185"/>
        <v>0</v>
      </c>
      <c r="FY253" s="3">
        <f t="shared" si="185"/>
        <v>0</v>
      </c>
      <c r="FZ253" s="3">
        <f t="shared" si="185"/>
        <v>0</v>
      </c>
      <c r="GA253" s="3">
        <f t="shared" si="185"/>
        <v>0</v>
      </c>
      <c r="GB253" s="3">
        <f t="shared" si="185"/>
        <v>0</v>
      </c>
      <c r="GC253" s="3">
        <f t="shared" si="185"/>
        <v>0</v>
      </c>
      <c r="GD253" s="3">
        <f t="shared" si="185"/>
        <v>0</v>
      </c>
      <c r="GE253" s="3">
        <f t="shared" si="185"/>
        <v>0</v>
      </c>
      <c r="GF253" s="3">
        <f t="shared" si="185"/>
        <v>0</v>
      </c>
      <c r="GG253" s="3">
        <f t="shared" si="185"/>
        <v>0</v>
      </c>
      <c r="GH253" s="3">
        <f t="shared" si="185"/>
        <v>0</v>
      </c>
      <c r="GI253" s="3">
        <f t="shared" si="185"/>
        <v>0</v>
      </c>
      <c r="GJ253" s="3">
        <f t="shared" si="185"/>
        <v>0</v>
      </c>
      <c r="GK253" s="3">
        <f t="shared" si="185"/>
        <v>0</v>
      </c>
      <c r="GL253" s="3">
        <f t="shared" si="185"/>
        <v>0</v>
      </c>
      <c r="GM253" s="3">
        <f t="shared" si="185"/>
        <v>0</v>
      </c>
      <c r="GN253" s="3">
        <f t="shared" si="185"/>
        <v>0</v>
      </c>
      <c r="GO253" s="3">
        <f t="shared" si="185"/>
        <v>0</v>
      </c>
      <c r="GP253" s="3">
        <f t="shared" si="185"/>
        <v>0</v>
      </c>
      <c r="GQ253" s="3">
        <f t="shared" si="185"/>
        <v>0</v>
      </c>
      <c r="GR253" s="3">
        <f t="shared" si="185"/>
        <v>0</v>
      </c>
      <c r="GS253" s="3">
        <f t="shared" si="185"/>
        <v>0</v>
      </c>
      <c r="GT253" s="3">
        <f t="shared" si="185"/>
        <v>0</v>
      </c>
      <c r="GU253" s="3">
        <f t="shared" si="185"/>
        <v>0</v>
      </c>
      <c r="GV253" s="3">
        <f t="shared" si="185"/>
        <v>0</v>
      </c>
      <c r="GW253" s="3">
        <f t="shared" si="185"/>
        <v>0</v>
      </c>
      <c r="GX253" s="3">
        <f t="shared" si="185"/>
        <v>0</v>
      </c>
    </row>
    <row r="255" spans="1:245">
      <c r="A255">
        <v>17</v>
      </c>
      <c r="B255">
        <v>1</v>
      </c>
      <c r="E255" t="s">
        <v>351</v>
      </c>
      <c r="F255" t="s">
        <v>352</v>
      </c>
      <c r="G255" t="s">
        <v>353</v>
      </c>
      <c r="H255" t="s">
        <v>354</v>
      </c>
      <c r="I255">
        <v>940</v>
      </c>
      <c r="J255">
        <v>0</v>
      </c>
      <c r="K255">
        <v>940</v>
      </c>
      <c r="O255">
        <f t="shared" ref="O255:O261" si="186">ROUND(CP255,2)</f>
        <v>264035.96000000002</v>
      </c>
      <c r="P255">
        <f>ROUND(ROUND(CQ255*I255,2)/BC255,2)</f>
        <v>264035.96000000002</v>
      </c>
      <c r="Q255">
        <f t="shared" ref="Q255:Q261" si="187">ROUND(CR255*I255,2)</f>
        <v>0</v>
      </c>
      <c r="R255">
        <f t="shared" ref="R255:R261" si="188">ROUND(CS255*I255,2)</f>
        <v>0</v>
      </c>
      <c r="S255">
        <f t="shared" ref="S255:S261" si="189">ROUND(CT255*I255,2)</f>
        <v>0</v>
      </c>
      <c r="T255">
        <f t="shared" ref="T255:T261" si="190">ROUND(CU255*I255,2)</f>
        <v>0</v>
      </c>
      <c r="U255">
        <f t="shared" ref="U255:U261" si="191">CV255*I255</f>
        <v>0</v>
      </c>
      <c r="V255">
        <f t="shared" ref="V255:V261" si="192">CW255*I255</f>
        <v>0</v>
      </c>
      <c r="W255">
        <f t="shared" ref="W255:W261" si="193">ROUND(CX255*I255,2)</f>
        <v>0</v>
      </c>
      <c r="X255">
        <f t="shared" ref="X255:Y261" si="194">ROUND(CY255,2)</f>
        <v>0</v>
      </c>
      <c r="Y255">
        <f t="shared" si="194"/>
        <v>0</v>
      </c>
      <c r="AA255">
        <v>47920234</v>
      </c>
      <c r="AB255">
        <f t="shared" ref="AB255:AB261" si="195">ROUND((AC255+AD255+AF255),2)</f>
        <v>1446.58</v>
      </c>
      <c r="AC255">
        <f t="shared" ref="AC255:AC261" si="196">ROUND((ES255),2)</f>
        <v>1446.58</v>
      </c>
      <c r="AD255">
        <f t="shared" ref="AD255:AD261" si="197">ROUND((((ET255)-(EU255))+AE255),2)</f>
        <v>0</v>
      </c>
      <c r="AE255">
        <f t="shared" ref="AE255:AF261" si="198">ROUND((EU255),2)</f>
        <v>0</v>
      </c>
      <c r="AF255">
        <f t="shared" si="198"/>
        <v>0</v>
      </c>
      <c r="AG255">
        <f t="shared" ref="AG255:AG261" si="199">ROUND((AP255),2)</f>
        <v>0</v>
      </c>
      <c r="AH255">
        <f t="shared" ref="AH255:AI261" si="200">(EW255)</f>
        <v>0</v>
      </c>
      <c r="AI255">
        <f t="shared" si="200"/>
        <v>0</v>
      </c>
      <c r="AJ255">
        <f t="shared" ref="AJ255:AJ261" si="201">(AS255)</f>
        <v>0</v>
      </c>
      <c r="AK255">
        <v>1446.58</v>
      </c>
      <c r="AL255">
        <v>1446.58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1</v>
      </c>
      <c r="AW255">
        <v>1</v>
      </c>
      <c r="AZ255">
        <v>1</v>
      </c>
      <c r="BA255">
        <v>1</v>
      </c>
      <c r="BB255">
        <v>1</v>
      </c>
      <c r="BC255">
        <v>5.15</v>
      </c>
      <c r="BD255" t="s">
        <v>3</v>
      </c>
      <c r="BE255" t="s">
        <v>3</v>
      </c>
      <c r="BF255" t="s">
        <v>3</v>
      </c>
      <c r="BG255" t="s">
        <v>3</v>
      </c>
      <c r="BH255">
        <v>3</v>
      </c>
      <c r="BI255">
        <v>2</v>
      </c>
      <c r="BJ255" t="s">
        <v>352</v>
      </c>
      <c r="BM255">
        <v>500004</v>
      </c>
      <c r="BN255">
        <v>0</v>
      </c>
      <c r="BO255" t="s">
        <v>3</v>
      </c>
      <c r="BP255">
        <v>0</v>
      </c>
      <c r="BQ255">
        <v>14</v>
      </c>
      <c r="BR255">
        <v>0</v>
      </c>
      <c r="BS255">
        <v>1</v>
      </c>
      <c r="BT255">
        <v>1</v>
      </c>
      <c r="BU255">
        <v>1</v>
      </c>
      <c r="BV255">
        <v>1</v>
      </c>
      <c r="BW255">
        <v>1</v>
      </c>
      <c r="BX255">
        <v>1</v>
      </c>
      <c r="BY255" t="s">
        <v>3</v>
      </c>
      <c r="BZ255">
        <v>0</v>
      </c>
      <c r="CA255">
        <v>0</v>
      </c>
      <c r="CB255" t="s">
        <v>3</v>
      </c>
      <c r="CE255">
        <v>0</v>
      </c>
      <c r="CF255">
        <v>0</v>
      </c>
      <c r="CG255">
        <v>0</v>
      </c>
      <c r="CM255">
        <v>0</v>
      </c>
      <c r="CN255" t="s">
        <v>3</v>
      </c>
      <c r="CO255">
        <v>0</v>
      </c>
      <c r="CP255">
        <f t="shared" ref="CP255:CP261" si="202">(P255+Q255+S255)</f>
        <v>264035.96000000002</v>
      </c>
      <c r="CQ255">
        <f>AC255</f>
        <v>1446.58</v>
      </c>
      <c r="CR255">
        <f t="shared" ref="CR255:CR261" si="203">AD255*BB255</f>
        <v>0</v>
      </c>
      <c r="CS255">
        <f t="shared" ref="CS255:CX261" si="204">AE255</f>
        <v>0</v>
      </c>
      <c r="CT255">
        <f t="shared" si="204"/>
        <v>0</v>
      </c>
      <c r="CU255">
        <f t="shared" si="204"/>
        <v>0</v>
      </c>
      <c r="CV255">
        <f t="shared" si="204"/>
        <v>0</v>
      </c>
      <c r="CW255">
        <f t="shared" si="204"/>
        <v>0</v>
      </c>
      <c r="CX255">
        <f t="shared" si="204"/>
        <v>0</v>
      </c>
      <c r="CY255">
        <f t="shared" ref="CY255:CY261" si="205">(((S255+R255)*AT255)/100)</f>
        <v>0</v>
      </c>
      <c r="CZ255">
        <f t="shared" ref="CZ255:CZ261" si="206">(((S255+R255)*AU255)/100)</f>
        <v>0</v>
      </c>
      <c r="DC255" t="s">
        <v>3</v>
      </c>
      <c r="DD255" t="s">
        <v>3</v>
      </c>
      <c r="DE255" t="s">
        <v>3</v>
      </c>
      <c r="DF255" t="s">
        <v>3</v>
      </c>
      <c r="DG255" t="s">
        <v>3</v>
      </c>
      <c r="DH255" t="s">
        <v>3</v>
      </c>
      <c r="DI255" t="s">
        <v>3</v>
      </c>
      <c r="DJ255" t="s">
        <v>3</v>
      </c>
      <c r="DK255" t="s">
        <v>3</v>
      </c>
      <c r="DL255" t="s">
        <v>3</v>
      </c>
      <c r="DM255" t="s">
        <v>3</v>
      </c>
      <c r="DN255">
        <v>0</v>
      </c>
      <c r="DO255">
        <v>0</v>
      </c>
      <c r="DP255">
        <v>1</v>
      </c>
      <c r="DQ255">
        <v>1</v>
      </c>
      <c r="DU255">
        <v>1003</v>
      </c>
      <c r="DV255" t="s">
        <v>354</v>
      </c>
      <c r="DW255" t="s">
        <v>354</v>
      </c>
      <c r="DX255">
        <v>1</v>
      </c>
      <c r="DZ255" t="s">
        <v>3</v>
      </c>
      <c r="EA255" t="s">
        <v>3</v>
      </c>
      <c r="EB255" t="s">
        <v>3</v>
      </c>
      <c r="EC255" t="s">
        <v>3</v>
      </c>
      <c r="EE255">
        <v>41328483</v>
      </c>
      <c r="EF255">
        <v>14</v>
      </c>
      <c r="EG255" t="s">
        <v>316</v>
      </c>
      <c r="EH255">
        <v>0</v>
      </c>
      <c r="EI255" t="s">
        <v>3</v>
      </c>
      <c r="EJ255">
        <v>2</v>
      </c>
      <c r="EK255">
        <v>500004</v>
      </c>
      <c r="EL255" t="s">
        <v>317</v>
      </c>
      <c r="EM255" t="s">
        <v>318</v>
      </c>
      <c r="EO255" t="s">
        <v>3</v>
      </c>
      <c r="EQ255">
        <v>131072</v>
      </c>
      <c r="ER255">
        <v>1446.58</v>
      </c>
      <c r="ES255">
        <v>1446.58</v>
      </c>
      <c r="ET255">
        <v>0</v>
      </c>
      <c r="EU255">
        <v>0</v>
      </c>
      <c r="EV255">
        <v>0</v>
      </c>
      <c r="EW255">
        <v>0</v>
      </c>
      <c r="EX255">
        <v>0</v>
      </c>
      <c r="EY255">
        <v>0</v>
      </c>
      <c r="EZ255">
        <v>5</v>
      </c>
      <c r="FC255">
        <v>1</v>
      </c>
      <c r="FD255">
        <v>18</v>
      </c>
      <c r="FF255">
        <v>1613.14</v>
      </c>
      <c r="FQ255">
        <v>0</v>
      </c>
      <c r="FR255">
        <f t="shared" ref="FR255:FR261" si="207">ROUND(IF(AND(BH255=3,BI255=3),P255,0),2)</f>
        <v>0</v>
      </c>
      <c r="FS255">
        <v>0</v>
      </c>
      <c r="FX255">
        <v>0</v>
      </c>
      <c r="FY255">
        <v>0</v>
      </c>
      <c r="GA255" t="s">
        <v>355</v>
      </c>
      <c r="GD255">
        <v>1</v>
      </c>
      <c r="GF255">
        <v>-404050162</v>
      </c>
      <c r="GG255">
        <v>2</v>
      </c>
      <c r="GH255">
        <v>3</v>
      </c>
      <c r="GI255">
        <v>4</v>
      </c>
      <c r="GJ255">
        <v>0</v>
      </c>
      <c r="GK255">
        <v>0</v>
      </c>
      <c r="GL255">
        <f t="shared" ref="GL255:GL261" si="208">ROUND(IF(AND(BH255=3,BI255=3,FS255&lt;&gt;0),P255,0),2)</f>
        <v>0</v>
      </c>
      <c r="GM255">
        <f t="shared" ref="GM255:GM261" si="209">ROUND(O255+X255+Y255,2)+GX255</f>
        <v>264035.96000000002</v>
      </c>
      <c r="GN255">
        <f t="shared" ref="GN255:GN261" si="210">IF(OR(BI255=0,BI255=1),ROUND(O255+X255+Y255,2),0)</f>
        <v>0</v>
      </c>
      <c r="GO255">
        <f t="shared" ref="GO255:GO261" si="211">IF(BI255=2,ROUND(O255+X255+Y255,2),0)</f>
        <v>264035.96000000002</v>
      </c>
      <c r="GP255">
        <f t="shared" ref="GP255:GP261" si="212">IF(BI255=4,ROUND(O255+X255+Y255,2)+GX255,0)</f>
        <v>0</v>
      </c>
      <c r="GR255">
        <v>1</v>
      </c>
      <c r="GS255">
        <v>1</v>
      </c>
      <c r="GT255">
        <v>0</v>
      </c>
      <c r="GU255" t="s">
        <v>3</v>
      </c>
      <c r="GV255">
        <f t="shared" ref="GV255:GV261" si="213">ROUND((GT255),2)</f>
        <v>0</v>
      </c>
      <c r="GW255">
        <v>1</v>
      </c>
      <c r="GX255">
        <f t="shared" ref="GX255:GX261" si="214">ROUND(HC255*I255,2)</f>
        <v>0</v>
      </c>
      <c r="HA255">
        <v>0</v>
      </c>
      <c r="HB255">
        <v>0</v>
      </c>
      <c r="HC255">
        <f t="shared" ref="HC255:HC261" si="215">GV255*GW255</f>
        <v>0</v>
      </c>
      <c r="HE255" t="s">
        <v>356</v>
      </c>
      <c r="HF255" t="s">
        <v>26</v>
      </c>
      <c r="HG255">
        <f>ROUND(AC255*I255,2)</f>
        <v>1359785.2</v>
      </c>
      <c r="HI255">
        <f t="shared" ref="HI255:HI261" si="216">ROUND(R255*BS255,2)</f>
        <v>0</v>
      </c>
      <c r="HJ255">
        <f t="shared" ref="HJ255:HJ261" si="217">ROUND(S255*BA255,2)</f>
        <v>0</v>
      </c>
      <c r="HK255">
        <f t="shared" ref="HK255:HK261" si="218">ROUND((((HJ255+HI255)*AT255)/100),2)</f>
        <v>0</v>
      </c>
      <c r="HL255">
        <f t="shared" ref="HL255:HL261" si="219">ROUND((((HJ255+HI255)*AU255)/100),2)</f>
        <v>0</v>
      </c>
      <c r="HM255" t="s">
        <v>3</v>
      </c>
      <c r="HN255" t="s">
        <v>3</v>
      </c>
      <c r="HO255" t="s">
        <v>3</v>
      </c>
      <c r="HP255" t="s">
        <v>3</v>
      </c>
      <c r="HQ255" t="s">
        <v>3</v>
      </c>
      <c r="IK255">
        <v>0</v>
      </c>
    </row>
    <row r="256" spans="1:245">
      <c r="A256">
        <v>17</v>
      </c>
      <c r="B256">
        <v>1</v>
      </c>
      <c r="E256" t="s">
        <v>357</v>
      </c>
      <c r="F256" t="s">
        <v>358</v>
      </c>
      <c r="G256" t="s">
        <v>359</v>
      </c>
      <c r="H256" t="s">
        <v>298</v>
      </c>
      <c r="I256">
        <v>34.11</v>
      </c>
      <c r="J256">
        <v>0</v>
      </c>
      <c r="K256">
        <v>34.11</v>
      </c>
      <c r="O256">
        <f t="shared" si="186"/>
        <v>3660</v>
      </c>
      <c r="P256">
        <f>ROUND(CQ256*I256,2)</f>
        <v>3660</v>
      </c>
      <c r="Q256">
        <f t="shared" si="187"/>
        <v>0</v>
      </c>
      <c r="R256">
        <f t="shared" si="188"/>
        <v>0</v>
      </c>
      <c r="S256">
        <f t="shared" si="189"/>
        <v>0</v>
      </c>
      <c r="T256">
        <f t="shared" si="190"/>
        <v>0</v>
      </c>
      <c r="U256">
        <f t="shared" si="191"/>
        <v>0</v>
      </c>
      <c r="V256">
        <f t="shared" si="192"/>
        <v>0</v>
      </c>
      <c r="W256">
        <f t="shared" si="193"/>
        <v>0</v>
      </c>
      <c r="X256">
        <f t="shared" si="194"/>
        <v>0</v>
      </c>
      <c r="Y256">
        <f t="shared" si="194"/>
        <v>0</v>
      </c>
      <c r="AA256">
        <v>47920234</v>
      </c>
      <c r="AB256">
        <f t="shared" si="195"/>
        <v>107.3</v>
      </c>
      <c r="AC256">
        <f t="shared" si="196"/>
        <v>107.3</v>
      </c>
      <c r="AD256">
        <f t="shared" si="197"/>
        <v>0</v>
      </c>
      <c r="AE256">
        <f t="shared" si="198"/>
        <v>0</v>
      </c>
      <c r="AF256">
        <f t="shared" si="198"/>
        <v>0</v>
      </c>
      <c r="AG256">
        <f t="shared" si="199"/>
        <v>0</v>
      </c>
      <c r="AH256">
        <f t="shared" si="200"/>
        <v>0</v>
      </c>
      <c r="AI256">
        <f t="shared" si="200"/>
        <v>0</v>
      </c>
      <c r="AJ256">
        <f t="shared" si="201"/>
        <v>0</v>
      </c>
      <c r="AK256">
        <v>107.3</v>
      </c>
      <c r="AL256">
        <v>107.3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1</v>
      </c>
      <c r="AW256">
        <v>1</v>
      </c>
      <c r="AZ256">
        <v>1</v>
      </c>
      <c r="BA256">
        <v>1</v>
      </c>
      <c r="BB256">
        <v>1</v>
      </c>
      <c r="BC256">
        <v>1</v>
      </c>
      <c r="BD256" t="s">
        <v>3</v>
      </c>
      <c r="BE256" t="s">
        <v>3</v>
      </c>
      <c r="BF256" t="s">
        <v>3</v>
      </c>
      <c r="BG256" t="s">
        <v>3</v>
      </c>
      <c r="BH256">
        <v>3</v>
      </c>
      <c r="BI256">
        <v>1</v>
      </c>
      <c r="BJ256" t="s">
        <v>360</v>
      </c>
      <c r="BM256">
        <v>500001</v>
      </c>
      <c r="BN256">
        <v>0</v>
      </c>
      <c r="BO256" t="s">
        <v>3</v>
      </c>
      <c r="BP256">
        <v>0</v>
      </c>
      <c r="BQ256">
        <v>8</v>
      </c>
      <c r="BR256">
        <v>0</v>
      </c>
      <c r="BS256">
        <v>1</v>
      </c>
      <c r="BT256">
        <v>1</v>
      </c>
      <c r="BU256">
        <v>1</v>
      </c>
      <c r="BV256">
        <v>1</v>
      </c>
      <c r="BW256">
        <v>1</v>
      </c>
      <c r="BX256">
        <v>1</v>
      </c>
      <c r="BY256" t="s">
        <v>3</v>
      </c>
      <c r="BZ256">
        <v>0</v>
      </c>
      <c r="CA256">
        <v>0</v>
      </c>
      <c r="CB256" t="s">
        <v>3</v>
      </c>
      <c r="CE256">
        <v>0</v>
      </c>
      <c r="CF256">
        <v>0</v>
      </c>
      <c r="CG256">
        <v>0</v>
      </c>
      <c r="CM256">
        <v>0</v>
      </c>
      <c r="CN256" t="s">
        <v>3</v>
      </c>
      <c r="CO256">
        <v>0</v>
      </c>
      <c r="CP256">
        <f t="shared" si="202"/>
        <v>3660</v>
      </c>
      <c r="CQ256">
        <f>AC256*BC256</f>
        <v>107.3</v>
      </c>
      <c r="CR256">
        <f t="shared" si="203"/>
        <v>0</v>
      </c>
      <c r="CS256">
        <f t="shared" si="204"/>
        <v>0</v>
      </c>
      <c r="CT256">
        <f t="shared" si="204"/>
        <v>0</v>
      </c>
      <c r="CU256">
        <f t="shared" si="204"/>
        <v>0</v>
      </c>
      <c r="CV256">
        <f t="shared" si="204"/>
        <v>0</v>
      </c>
      <c r="CW256">
        <f t="shared" si="204"/>
        <v>0</v>
      </c>
      <c r="CX256">
        <f t="shared" si="204"/>
        <v>0</v>
      </c>
      <c r="CY256">
        <f t="shared" si="205"/>
        <v>0</v>
      </c>
      <c r="CZ256">
        <f t="shared" si="206"/>
        <v>0</v>
      </c>
      <c r="DC256" t="s">
        <v>3</v>
      </c>
      <c r="DD256" t="s">
        <v>3</v>
      </c>
      <c r="DE256" t="s">
        <v>3</v>
      </c>
      <c r="DF256" t="s">
        <v>3</v>
      </c>
      <c r="DG256" t="s">
        <v>3</v>
      </c>
      <c r="DH256" t="s">
        <v>3</v>
      </c>
      <c r="DI256" t="s">
        <v>3</v>
      </c>
      <c r="DJ256" t="s">
        <v>3</v>
      </c>
      <c r="DK256" t="s">
        <v>3</v>
      </c>
      <c r="DL256" t="s">
        <v>3</v>
      </c>
      <c r="DM256" t="s">
        <v>3</v>
      </c>
      <c r="DN256">
        <v>0</v>
      </c>
      <c r="DO256">
        <v>0</v>
      </c>
      <c r="DP256">
        <v>1</v>
      </c>
      <c r="DQ256">
        <v>1</v>
      </c>
      <c r="DU256">
        <v>1007</v>
      </c>
      <c r="DV256" t="s">
        <v>298</v>
      </c>
      <c r="DW256" t="s">
        <v>298</v>
      </c>
      <c r="DX256">
        <v>1</v>
      </c>
      <c r="DZ256" t="s">
        <v>3</v>
      </c>
      <c r="EA256" t="s">
        <v>3</v>
      </c>
      <c r="EB256" t="s">
        <v>3</v>
      </c>
      <c r="EC256" t="s">
        <v>3</v>
      </c>
      <c r="EE256">
        <v>41328221</v>
      </c>
      <c r="EF256">
        <v>8</v>
      </c>
      <c r="EG256" t="s">
        <v>300</v>
      </c>
      <c r="EH256">
        <v>0</v>
      </c>
      <c r="EI256" t="s">
        <v>3</v>
      </c>
      <c r="EJ256">
        <v>1</v>
      </c>
      <c r="EK256">
        <v>500001</v>
      </c>
      <c r="EL256" t="s">
        <v>301</v>
      </c>
      <c r="EM256" t="s">
        <v>302</v>
      </c>
      <c r="EO256" t="s">
        <v>3</v>
      </c>
      <c r="EQ256">
        <v>131072</v>
      </c>
      <c r="ER256">
        <v>107.3</v>
      </c>
      <c r="ES256">
        <v>107.3</v>
      </c>
      <c r="ET256">
        <v>0</v>
      </c>
      <c r="EU256">
        <v>0</v>
      </c>
      <c r="EV256">
        <v>0</v>
      </c>
      <c r="EW256">
        <v>0</v>
      </c>
      <c r="EX256">
        <v>0</v>
      </c>
      <c r="EY256">
        <v>0</v>
      </c>
      <c r="FQ256">
        <v>0</v>
      </c>
      <c r="FR256">
        <f t="shared" si="207"/>
        <v>0</v>
      </c>
      <c r="FS256">
        <v>0</v>
      </c>
      <c r="FX256">
        <v>0</v>
      </c>
      <c r="FY256">
        <v>0</v>
      </c>
      <c r="GA256" t="s">
        <v>3</v>
      </c>
      <c r="GD256">
        <v>1</v>
      </c>
      <c r="GF256">
        <v>-1268693974</v>
      </c>
      <c r="GG256">
        <v>2</v>
      </c>
      <c r="GH256">
        <v>1</v>
      </c>
      <c r="GI256">
        <v>4</v>
      </c>
      <c r="GJ256">
        <v>0</v>
      </c>
      <c r="GK256">
        <v>0</v>
      </c>
      <c r="GL256">
        <f t="shared" si="208"/>
        <v>0</v>
      </c>
      <c r="GM256">
        <f t="shared" si="209"/>
        <v>3660</v>
      </c>
      <c r="GN256">
        <f t="shared" si="210"/>
        <v>3660</v>
      </c>
      <c r="GO256">
        <f t="shared" si="211"/>
        <v>0</v>
      </c>
      <c r="GP256">
        <f t="shared" si="212"/>
        <v>0</v>
      </c>
      <c r="GR256">
        <v>0</v>
      </c>
      <c r="GS256">
        <v>3</v>
      </c>
      <c r="GT256">
        <v>0</v>
      </c>
      <c r="GU256" t="s">
        <v>3</v>
      </c>
      <c r="GV256">
        <f t="shared" si="213"/>
        <v>0</v>
      </c>
      <c r="GW256">
        <v>1</v>
      </c>
      <c r="GX256">
        <f t="shared" si="214"/>
        <v>0</v>
      </c>
      <c r="HA256">
        <v>0</v>
      </c>
      <c r="HB256">
        <v>0</v>
      </c>
      <c r="HC256">
        <f t="shared" si="215"/>
        <v>0</v>
      </c>
      <c r="HE256" t="s">
        <v>3</v>
      </c>
      <c r="HF256" t="s">
        <v>3</v>
      </c>
      <c r="HI256">
        <f t="shared" si="216"/>
        <v>0</v>
      </c>
      <c r="HJ256">
        <f t="shared" si="217"/>
        <v>0</v>
      </c>
      <c r="HK256">
        <f t="shared" si="218"/>
        <v>0</v>
      </c>
      <c r="HL256">
        <f t="shared" si="219"/>
        <v>0</v>
      </c>
      <c r="HM256" t="s">
        <v>3</v>
      </c>
      <c r="HN256" t="s">
        <v>3</v>
      </c>
      <c r="HO256" t="s">
        <v>3</v>
      </c>
      <c r="HP256" t="s">
        <v>3</v>
      </c>
      <c r="HQ256" t="s">
        <v>3</v>
      </c>
      <c r="IK256">
        <v>0</v>
      </c>
    </row>
    <row r="257" spans="1:245">
      <c r="A257">
        <v>17</v>
      </c>
      <c r="B257">
        <v>1</v>
      </c>
      <c r="E257" t="s">
        <v>361</v>
      </c>
      <c r="F257" t="s">
        <v>352</v>
      </c>
      <c r="G257" t="s">
        <v>362</v>
      </c>
      <c r="H257" t="s">
        <v>363</v>
      </c>
      <c r="I257">
        <v>3070</v>
      </c>
      <c r="J257">
        <v>0</v>
      </c>
      <c r="K257">
        <v>3070</v>
      </c>
      <c r="O257">
        <f t="shared" si="186"/>
        <v>12828.43</v>
      </c>
      <c r="P257">
        <f>ROUND(ROUND(CQ257*I257,2)/BC257,2)</f>
        <v>12828.43</v>
      </c>
      <c r="Q257">
        <f t="shared" si="187"/>
        <v>0</v>
      </c>
      <c r="R257">
        <f t="shared" si="188"/>
        <v>0</v>
      </c>
      <c r="S257">
        <f t="shared" si="189"/>
        <v>0</v>
      </c>
      <c r="T257">
        <f t="shared" si="190"/>
        <v>0</v>
      </c>
      <c r="U257">
        <f t="shared" si="191"/>
        <v>0</v>
      </c>
      <c r="V257">
        <f t="shared" si="192"/>
        <v>0</v>
      </c>
      <c r="W257">
        <f t="shared" si="193"/>
        <v>0</v>
      </c>
      <c r="X257">
        <f t="shared" si="194"/>
        <v>0</v>
      </c>
      <c r="Y257">
        <f t="shared" si="194"/>
        <v>0</v>
      </c>
      <c r="AA257">
        <v>47920234</v>
      </c>
      <c r="AB257">
        <f t="shared" si="195"/>
        <v>21.52</v>
      </c>
      <c r="AC257">
        <f t="shared" si="196"/>
        <v>21.52</v>
      </c>
      <c r="AD257">
        <f t="shared" si="197"/>
        <v>0</v>
      </c>
      <c r="AE257">
        <f t="shared" si="198"/>
        <v>0</v>
      </c>
      <c r="AF257">
        <f t="shared" si="198"/>
        <v>0</v>
      </c>
      <c r="AG257">
        <f t="shared" si="199"/>
        <v>0</v>
      </c>
      <c r="AH257">
        <f t="shared" si="200"/>
        <v>0</v>
      </c>
      <c r="AI257">
        <f t="shared" si="200"/>
        <v>0</v>
      </c>
      <c r="AJ257">
        <f t="shared" si="201"/>
        <v>0</v>
      </c>
      <c r="AK257">
        <v>21.520000000000003</v>
      </c>
      <c r="AL257">
        <v>21.520000000000003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1</v>
      </c>
      <c r="AW257">
        <v>1</v>
      </c>
      <c r="AZ257">
        <v>1</v>
      </c>
      <c r="BA257">
        <v>1</v>
      </c>
      <c r="BB257">
        <v>1</v>
      </c>
      <c r="BC257">
        <v>5.15</v>
      </c>
      <c r="BD257" t="s">
        <v>3</v>
      </c>
      <c r="BE257" t="s">
        <v>3</v>
      </c>
      <c r="BF257" t="s">
        <v>3</v>
      </c>
      <c r="BG257" t="s">
        <v>3</v>
      </c>
      <c r="BH257">
        <v>3</v>
      </c>
      <c r="BI257">
        <v>2</v>
      </c>
      <c r="BJ257" t="s">
        <v>352</v>
      </c>
      <c r="BM257">
        <v>500004</v>
      </c>
      <c r="BN257">
        <v>0</v>
      </c>
      <c r="BO257" t="s">
        <v>3</v>
      </c>
      <c r="BP257">
        <v>0</v>
      </c>
      <c r="BQ257">
        <v>14</v>
      </c>
      <c r="BR257">
        <v>0</v>
      </c>
      <c r="BS257">
        <v>1</v>
      </c>
      <c r="BT257">
        <v>1</v>
      </c>
      <c r="BU257">
        <v>1</v>
      </c>
      <c r="BV257">
        <v>1</v>
      </c>
      <c r="BW257">
        <v>1</v>
      </c>
      <c r="BX257">
        <v>1</v>
      </c>
      <c r="BY257" t="s">
        <v>3</v>
      </c>
      <c r="BZ257">
        <v>0</v>
      </c>
      <c r="CA257">
        <v>0</v>
      </c>
      <c r="CB257" t="s">
        <v>3</v>
      </c>
      <c r="CE257">
        <v>0</v>
      </c>
      <c r="CF257">
        <v>0</v>
      </c>
      <c r="CG257">
        <v>0</v>
      </c>
      <c r="CM257">
        <v>0</v>
      </c>
      <c r="CN257" t="s">
        <v>3</v>
      </c>
      <c r="CO257">
        <v>0</v>
      </c>
      <c r="CP257">
        <f t="shared" si="202"/>
        <v>12828.43</v>
      </c>
      <c r="CQ257">
        <f>AC257</f>
        <v>21.52</v>
      </c>
      <c r="CR257">
        <f t="shared" si="203"/>
        <v>0</v>
      </c>
      <c r="CS257">
        <f t="shared" si="204"/>
        <v>0</v>
      </c>
      <c r="CT257">
        <f t="shared" si="204"/>
        <v>0</v>
      </c>
      <c r="CU257">
        <f t="shared" si="204"/>
        <v>0</v>
      </c>
      <c r="CV257">
        <f t="shared" si="204"/>
        <v>0</v>
      </c>
      <c r="CW257">
        <f t="shared" si="204"/>
        <v>0</v>
      </c>
      <c r="CX257">
        <f t="shared" si="204"/>
        <v>0</v>
      </c>
      <c r="CY257">
        <f t="shared" si="205"/>
        <v>0</v>
      </c>
      <c r="CZ257">
        <f t="shared" si="206"/>
        <v>0</v>
      </c>
      <c r="DC257" t="s">
        <v>3</v>
      </c>
      <c r="DD257" t="s">
        <v>3</v>
      </c>
      <c r="DE257" t="s">
        <v>3</v>
      </c>
      <c r="DF257" t="s">
        <v>3</v>
      </c>
      <c r="DG257" t="s">
        <v>3</v>
      </c>
      <c r="DH257" t="s">
        <v>3</v>
      </c>
      <c r="DI257" t="s">
        <v>3</v>
      </c>
      <c r="DJ257" t="s">
        <v>3</v>
      </c>
      <c r="DK257" t="s">
        <v>3</v>
      </c>
      <c r="DL257" t="s">
        <v>3</v>
      </c>
      <c r="DM257" t="s">
        <v>3</v>
      </c>
      <c r="DN257">
        <v>0</v>
      </c>
      <c r="DO257">
        <v>0</v>
      </c>
      <c r="DP257">
        <v>1</v>
      </c>
      <c r="DQ257">
        <v>1</v>
      </c>
      <c r="DU257">
        <v>1013</v>
      </c>
      <c r="DV257" t="s">
        <v>363</v>
      </c>
      <c r="DW257" t="s">
        <v>364</v>
      </c>
      <c r="DX257">
        <v>1</v>
      </c>
      <c r="DZ257" t="s">
        <v>3</v>
      </c>
      <c r="EA257" t="s">
        <v>3</v>
      </c>
      <c r="EB257" t="s">
        <v>3</v>
      </c>
      <c r="EC257" t="s">
        <v>3</v>
      </c>
      <c r="EE257">
        <v>41328483</v>
      </c>
      <c r="EF257">
        <v>14</v>
      </c>
      <c r="EG257" t="s">
        <v>316</v>
      </c>
      <c r="EH257">
        <v>0</v>
      </c>
      <c r="EI257" t="s">
        <v>3</v>
      </c>
      <c r="EJ257">
        <v>2</v>
      </c>
      <c r="EK257">
        <v>500004</v>
      </c>
      <c r="EL257" t="s">
        <v>317</v>
      </c>
      <c r="EM257" t="s">
        <v>318</v>
      </c>
      <c r="EO257" t="s">
        <v>3</v>
      </c>
      <c r="EQ257">
        <v>131072</v>
      </c>
      <c r="ER257">
        <v>21.520000000000003</v>
      </c>
      <c r="ES257">
        <v>21.520000000000003</v>
      </c>
      <c r="ET257">
        <v>0</v>
      </c>
      <c r="EU257">
        <v>0</v>
      </c>
      <c r="EV257">
        <v>0</v>
      </c>
      <c r="EW257">
        <v>0</v>
      </c>
      <c r="EX257">
        <v>0</v>
      </c>
      <c r="EY257">
        <v>0</v>
      </c>
      <c r="EZ257">
        <v>5</v>
      </c>
      <c r="FC257">
        <v>1</v>
      </c>
      <c r="FD257">
        <v>18</v>
      </c>
      <c r="FF257">
        <v>24</v>
      </c>
      <c r="FQ257">
        <v>0</v>
      </c>
      <c r="FR257">
        <f t="shared" si="207"/>
        <v>0</v>
      </c>
      <c r="FS257">
        <v>0</v>
      </c>
      <c r="FX257">
        <v>0</v>
      </c>
      <c r="FY257">
        <v>0</v>
      </c>
      <c r="GA257" t="s">
        <v>365</v>
      </c>
      <c r="GD257">
        <v>1</v>
      </c>
      <c r="GF257">
        <v>-1891808832</v>
      </c>
      <c r="GG257">
        <v>2</v>
      </c>
      <c r="GH257">
        <v>3</v>
      </c>
      <c r="GI257">
        <v>4</v>
      </c>
      <c r="GJ257">
        <v>0</v>
      </c>
      <c r="GK257">
        <v>0</v>
      </c>
      <c r="GL257">
        <f t="shared" si="208"/>
        <v>0</v>
      </c>
      <c r="GM257">
        <f t="shared" si="209"/>
        <v>12828.43</v>
      </c>
      <c r="GN257">
        <f t="shared" si="210"/>
        <v>0</v>
      </c>
      <c r="GO257">
        <f t="shared" si="211"/>
        <v>12828.43</v>
      </c>
      <c r="GP257">
        <f t="shared" si="212"/>
        <v>0</v>
      </c>
      <c r="GR257">
        <v>1</v>
      </c>
      <c r="GS257">
        <v>1</v>
      </c>
      <c r="GT257">
        <v>0</v>
      </c>
      <c r="GU257" t="s">
        <v>3</v>
      </c>
      <c r="GV257">
        <f t="shared" si="213"/>
        <v>0</v>
      </c>
      <c r="GW257">
        <v>1</v>
      </c>
      <c r="GX257">
        <f t="shared" si="214"/>
        <v>0</v>
      </c>
      <c r="HA257">
        <v>0</v>
      </c>
      <c r="HB257">
        <v>0</v>
      </c>
      <c r="HC257">
        <f t="shared" si="215"/>
        <v>0</v>
      </c>
      <c r="HE257" t="s">
        <v>356</v>
      </c>
      <c r="HF257" t="s">
        <v>26</v>
      </c>
      <c r="HG257">
        <f>ROUND(AC257*I257,2)</f>
        <v>66066.399999999994</v>
      </c>
      <c r="HI257">
        <f t="shared" si="216"/>
        <v>0</v>
      </c>
      <c r="HJ257">
        <f t="shared" si="217"/>
        <v>0</v>
      </c>
      <c r="HK257">
        <f t="shared" si="218"/>
        <v>0</v>
      </c>
      <c r="HL257">
        <f t="shared" si="219"/>
        <v>0</v>
      </c>
      <c r="HM257" t="s">
        <v>3</v>
      </c>
      <c r="HN257" t="s">
        <v>3</v>
      </c>
      <c r="HO257" t="s">
        <v>3</v>
      </c>
      <c r="HP257" t="s">
        <v>3</v>
      </c>
      <c r="HQ257" t="s">
        <v>3</v>
      </c>
      <c r="IK257">
        <v>0</v>
      </c>
    </row>
    <row r="258" spans="1:245">
      <c r="A258">
        <v>17</v>
      </c>
      <c r="B258">
        <v>1</v>
      </c>
      <c r="E258" t="s">
        <v>366</v>
      </c>
      <c r="F258" t="s">
        <v>367</v>
      </c>
      <c r="G258" t="s">
        <v>368</v>
      </c>
      <c r="H258" t="s">
        <v>369</v>
      </c>
      <c r="I258">
        <v>2</v>
      </c>
      <c r="J258">
        <v>0</v>
      </c>
      <c r="K258">
        <v>2</v>
      </c>
      <c r="O258">
        <f t="shared" si="186"/>
        <v>1171.44</v>
      </c>
      <c r="P258">
        <f>ROUND(CQ258*I258,2)</f>
        <v>1171.44</v>
      </c>
      <c r="Q258">
        <f t="shared" si="187"/>
        <v>0</v>
      </c>
      <c r="R258">
        <f t="shared" si="188"/>
        <v>0</v>
      </c>
      <c r="S258">
        <f t="shared" si="189"/>
        <v>0</v>
      </c>
      <c r="T258">
        <f t="shared" si="190"/>
        <v>0</v>
      </c>
      <c r="U258">
        <f t="shared" si="191"/>
        <v>0</v>
      </c>
      <c r="V258">
        <f t="shared" si="192"/>
        <v>0</v>
      </c>
      <c r="W258">
        <f t="shared" si="193"/>
        <v>0</v>
      </c>
      <c r="X258">
        <f t="shared" si="194"/>
        <v>0</v>
      </c>
      <c r="Y258">
        <f t="shared" si="194"/>
        <v>0</v>
      </c>
      <c r="AA258">
        <v>47920234</v>
      </c>
      <c r="AB258">
        <f t="shared" si="195"/>
        <v>585.72</v>
      </c>
      <c r="AC258">
        <f t="shared" si="196"/>
        <v>585.72</v>
      </c>
      <c r="AD258">
        <f t="shared" si="197"/>
        <v>0</v>
      </c>
      <c r="AE258">
        <f t="shared" si="198"/>
        <v>0</v>
      </c>
      <c r="AF258">
        <f t="shared" si="198"/>
        <v>0</v>
      </c>
      <c r="AG258">
        <f t="shared" si="199"/>
        <v>0</v>
      </c>
      <c r="AH258">
        <f t="shared" si="200"/>
        <v>0</v>
      </c>
      <c r="AI258">
        <f t="shared" si="200"/>
        <v>0</v>
      </c>
      <c r="AJ258">
        <f t="shared" si="201"/>
        <v>0</v>
      </c>
      <c r="AK258">
        <v>585.72</v>
      </c>
      <c r="AL258">
        <v>585.72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1</v>
      </c>
      <c r="AW258">
        <v>1</v>
      </c>
      <c r="AZ258">
        <v>1</v>
      </c>
      <c r="BA258">
        <v>1</v>
      </c>
      <c r="BB258">
        <v>1</v>
      </c>
      <c r="BC258">
        <v>1</v>
      </c>
      <c r="BD258" t="s">
        <v>3</v>
      </c>
      <c r="BE258" t="s">
        <v>3</v>
      </c>
      <c r="BF258" t="s">
        <v>3</v>
      </c>
      <c r="BG258" t="s">
        <v>3</v>
      </c>
      <c r="BH258">
        <v>3</v>
      </c>
      <c r="BI258">
        <v>2</v>
      </c>
      <c r="BJ258" t="s">
        <v>370</v>
      </c>
      <c r="BM258">
        <v>500002</v>
      </c>
      <c r="BN258">
        <v>0</v>
      </c>
      <c r="BO258" t="s">
        <v>3</v>
      </c>
      <c r="BP258">
        <v>0</v>
      </c>
      <c r="BQ258">
        <v>12</v>
      </c>
      <c r="BR258">
        <v>0</v>
      </c>
      <c r="BS258">
        <v>1</v>
      </c>
      <c r="BT258">
        <v>1</v>
      </c>
      <c r="BU258">
        <v>1</v>
      </c>
      <c r="BV258">
        <v>1</v>
      </c>
      <c r="BW258">
        <v>1</v>
      </c>
      <c r="BX258">
        <v>1</v>
      </c>
      <c r="BY258" t="s">
        <v>3</v>
      </c>
      <c r="BZ258">
        <v>0</v>
      </c>
      <c r="CA258">
        <v>0</v>
      </c>
      <c r="CB258" t="s">
        <v>3</v>
      </c>
      <c r="CE258">
        <v>0</v>
      </c>
      <c r="CF258">
        <v>0</v>
      </c>
      <c r="CG258">
        <v>0</v>
      </c>
      <c r="CM258">
        <v>0</v>
      </c>
      <c r="CN258" t="s">
        <v>3</v>
      </c>
      <c r="CO258">
        <v>0</v>
      </c>
      <c r="CP258">
        <f t="shared" si="202"/>
        <v>1171.44</v>
      </c>
      <c r="CQ258">
        <f>AC258*BC258</f>
        <v>585.72</v>
      </c>
      <c r="CR258">
        <f t="shared" si="203"/>
        <v>0</v>
      </c>
      <c r="CS258">
        <f t="shared" si="204"/>
        <v>0</v>
      </c>
      <c r="CT258">
        <f t="shared" si="204"/>
        <v>0</v>
      </c>
      <c r="CU258">
        <f t="shared" si="204"/>
        <v>0</v>
      </c>
      <c r="CV258">
        <f t="shared" si="204"/>
        <v>0</v>
      </c>
      <c r="CW258">
        <f t="shared" si="204"/>
        <v>0</v>
      </c>
      <c r="CX258">
        <f t="shared" si="204"/>
        <v>0</v>
      </c>
      <c r="CY258">
        <f t="shared" si="205"/>
        <v>0</v>
      </c>
      <c r="CZ258">
        <f t="shared" si="206"/>
        <v>0</v>
      </c>
      <c r="DC258" t="s">
        <v>3</v>
      </c>
      <c r="DD258" t="s">
        <v>3</v>
      </c>
      <c r="DE258" t="s">
        <v>3</v>
      </c>
      <c r="DF258" t="s">
        <v>3</v>
      </c>
      <c r="DG258" t="s">
        <v>3</v>
      </c>
      <c r="DH258" t="s">
        <v>3</v>
      </c>
      <c r="DI258" t="s">
        <v>3</v>
      </c>
      <c r="DJ258" t="s">
        <v>3</v>
      </c>
      <c r="DK258" t="s">
        <v>3</v>
      </c>
      <c r="DL258" t="s">
        <v>3</v>
      </c>
      <c r="DM258" t="s">
        <v>3</v>
      </c>
      <c r="DN258">
        <v>0</v>
      </c>
      <c r="DO258">
        <v>0</v>
      </c>
      <c r="DP258">
        <v>1</v>
      </c>
      <c r="DQ258">
        <v>1</v>
      </c>
      <c r="DU258">
        <v>1013</v>
      </c>
      <c r="DV258" t="s">
        <v>369</v>
      </c>
      <c r="DW258" t="s">
        <v>369</v>
      </c>
      <c r="DX258">
        <v>1</v>
      </c>
      <c r="DZ258" t="s">
        <v>3</v>
      </c>
      <c r="EA258" t="s">
        <v>3</v>
      </c>
      <c r="EB258" t="s">
        <v>3</v>
      </c>
      <c r="EC258" t="s">
        <v>3</v>
      </c>
      <c r="EE258">
        <v>41328222</v>
      </c>
      <c r="EF258">
        <v>12</v>
      </c>
      <c r="EG258" t="s">
        <v>221</v>
      </c>
      <c r="EH258">
        <v>0</v>
      </c>
      <c r="EI258" t="s">
        <v>3</v>
      </c>
      <c r="EJ258">
        <v>2</v>
      </c>
      <c r="EK258">
        <v>500002</v>
      </c>
      <c r="EL258" t="s">
        <v>222</v>
      </c>
      <c r="EM258" t="s">
        <v>223</v>
      </c>
      <c r="EO258" t="s">
        <v>3</v>
      </c>
      <c r="EQ258">
        <v>131072</v>
      </c>
      <c r="ER258">
        <v>585.72</v>
      </c>
      <c r="ES258">
        <v>585.72</v>
      </c>
      <c r="ET258">
        <v>0</v>
      </c>
      <c r="EU258">
        <v>0</v>
      </c>
      <c r="EV258">
        <v>0</v>
      </c>
      <c r="EW258">
        <v>0</v>
      </c>
      <c r="EX258">
        <v>0</v>
      </c>
      <c r="EY258">
        <v>0</v>
      </c>
      <c r="FQ258">
        <v>0</v>
      </c>
      <c r="FR258">
        <f t="shared" si="207"/>
        <v>0</v>
      </c>
      <c r="FS258">
        <v>0</v>
      </c>
      <c r="FX258">
        <v>0</v>
      </c>
      <c r="FY258">
        <v>0</v>
      </c>
      <c r="GA258" t="s">
        <v>3</v>
      </c>
      <c r="GD258">
        <v>1</v>
      </c>
      <c r="GF258">
        <v>854093089</v>
      </c>
      <c r="GG258">
        <v>2</v>
      </c>
      <c r="GH258">
        <v>1</v>
      </c>
      <c r="GI258">
        <v>4</v>
      </c>
      <c r="GJ258">
        <v>0</v>
      </c>
      <c r="GK258">
        <v>0</v>
      </c>
      <c r="GL258">
        <f t="shared" si="208"/>
        <v>0</v>
      </c>
      <c r="GM258">
        <f t="shared" si="209"/>
        <v>1171.44</v>
      </c>
      <c r="GN258">
        <f t="shared" si="210"/>
        <v>0</v>
      </c>
      <c r="GO258">
        <f t="shared" si="211"/>
        <v>1171.44</v>
      </c>
      <c r="GP258">
        <f t="shared" si="212"/>
        <v>0</v>
      </c>
      <c r="GR258">
        <v>0</v>
      </c>
      <c r="GS258">
        <v>3</v>
      </c>
      <c r="GT258">
        <v>0</v>
      </c>
      <c r="GU258" t="s">
        <v>3</v>
      </c>
      <c r="GV258">
        <f t="shared" si="213"/>
        <v>0</v>
      </c>
      <c r="GW258">
        <v>1</v>
      </c>
      <c r="GX258">
        <f t="shared" si="214"/>
        <v>0</v>
      </c>
      <c r="HA258">
        <v>0</v>
      </c>
      <c r="HB258">
        <v>0</v>
      </c>
      <c r="HC258">
        <f t="shared" si="215"/>
        <v>0</v>
      </c>
      <c r="HE258" t="s">
        <v>3</v>
      </c>
      <c r="HF258" t="s">
        <v>3</v>
      </c>
      <c r="HI258">
        <f t="shared" si="216"/>
        <v>0</v>
      </c>
      <c r="HJ258">
        <f t="shared" si="217"/>
        <v>0</v>
      </c>
      <c r="HK258">
        <f t="shared" si="218"/>
        <v>0</v>
      </c>
      <c r="HL258">
        <f t="shared" si="219"/>
        <v>0</v>
      </c>
      <c r="HM258" t="s">
        <v>3</v>
      </c>
      <c r="HN258" t="s">
        <v>3</v>
      </c>
      <c r="HO258" t="s">
        <v>3</v>
      </c>
      <c r="HP258" t="s">
        <v>3</v>
      </c>
      <c r="HQ258" t="s">
        <v>3</v>
      </c>
      <c r="IK258">
        <v>0</v>
      </c>
    </row>
    <row r="259" spans="1:245">
      <c r="A259">
        <v>17</v>
      </c>
      <c r="B259">
        <v>1</v>
      </c>
      <c r="E259" t="s">
        <v>371</v>
      </c>
      <c r="F259" t="s">
        <v>372</v>
      </c>
      <c r="G259" t="s">
        <v>373</v>
      </c>
      <c r="H259" t="s">
        <v>369</v>
      </c>
      <c r="I259">
        <v>8</v>
      </c>
      <c r="J259">
        <v>0</v>
      </c>
      <c r="K259">
        <v>8</v>
      </c>
      <c r="O259">
        <f t="shared" si="186"/>
        <v>11025.76</v>
      </c>
      <c r="P259">
        <f>ROUND(CQ259*I259,2)</f>
        <v>11025.76</v>
      </c>
      <c r="Q259">
        <f t="shared" si="187"/>
        <v>0</v>
      </c>
      <c r="R259">
        <f t="shared" si="188"/>
        <v>0</v>
      </c>
      <c r="S259">
        <f t="shared" si="189"/>
        <v>0</v>
      </c>
      <c r="T259">
        <f t="shared" si="190"/>
        <v>0</v>
      </c>
      <c r="U259">
        <f t="shared" si="191"/>
        <v>0</v>
      </c>
      <c r="V259">
        <f t="shared" si="192"/>
        <v>0</v>
      </c>
      <c r="W259">
        <f t="shared" si="193"/>
        <v>0</v>
      </c>
      <c r="X259">
        <f t="shared" si="194"/>
        <v>0</v>
      </c>
      <c r="Y259">
        <f t="shared" si="194"/>
        <v>0</v>
      </c>
      <c r="AA259">
        <v>47920234</v>
      </c>
      <c r="AB259">
        <f t="shared" si="195"/>
        <v>1378.22</v>
      </c>
      <c r="AC259">
        <f t="shared" si="196"/>
        <v>1378.22</v>
      </c>
      <c r="AD259">
        <f t="shared" si="197"/>
        <v>0</v>
      </c>
      <c r="AE259">
        <f t="shared" si="198"/>
        <v>0</v>
      </c>
      <c r="AF259">
        <f t="shared" si="198"/>
        <v>0</v>
      </c>
      <c r="AG259">
        <f t="shared" si="199"/>
        <v>0</v>
      </c>
      <c r="AH259">
        <f t="shared" si="200"/>
        <v>0</v>
      </c>
      <c r="AI259">
        <f t="shared" si="200"/>
        <v>0</v>
      </c>
      <c r="AJ259">
        <f t="shared" si="201"/>
        <v>0</v>
      </c>
      <c r="AK259">
        <v>1378.22</v>
      </c>
      <c r="AL259">
        <v>1378.22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1</v>
      </c>
      <c r="AW259">
        <v>1</v>
      </c>
      <c r="AZ259">
        <v>1</v>
      </c>
      <c r="BA259">
        <v>1</v>
      </c>
      <c r="BB259">
        <v>1</v>
      </c>
      <c r="BC259">
        <v>1</v>
      </c>
      <c r="BD259" t="s">
        <v>3</v>
      </c>
      <c r="BE259" t="s">
        <v>3</v>
      </c>
      <c r="BF259" t="s">
        <v>3</v>
      </c>
      <c r="BG259" t="s">
        <v>3</v>
      </c>
      <c r="BH259">
        <v>3</v>
      </c>
      <c r="BI259">
        <v>2</v>
      </c>
      <c r="BJ259" t="s">
        <v>374</v>
      </c>
      <c r="BM259">
        <v>500002</v>
      </c>
      <c r="BN259">
        <v>0</v>
      </c>
      <c r="BO259" t="s">
        <v>3</v>
      </c>
      <c r="BP259">
        <v>0</v>
      </c>
      <c r="BQ259">
        <v>12</v>
      </c>
      <c r="BR259">
        <v>0</v>
      </c>
      <c r="BS259">
        <v>1</v>
      </c>
      <c r="BT259">
        <v>1</v>
      </c>
      <c r="BU259">
        <v>1</v>
      </c>
      <c r="BV259">
        <v>1</v>
      </c>
      <c r="BW259">
        <v>1</v>
      </c>
      <c r="BX259">
        <v>1</v>
      </c>
      <c r="BY259" t="s">
        <v>3</v>
      </c>
      <c r="BZ259">
        <v>0</v>
      </c>
      <c r="CA259">
        <v>0</v>
      </c>
      <c r="CB259" t="s">
        <v>3</v>
      </c>
      <c r="CE259">
        <v>0</v>
      </c>
      <c r="CF259">
        <v>0</v>
      </c>
      <c r="CG259">
        <v>0</v>
      </c>
      <c r="CM259">
        <v>0</v>
      </c>
      <c r="CN259" t="s">
        <v>3</v>
      </c>
      <c r="CO259">
        <v>0</v>
      </c>
      <c r="CP259">
        <f t="shared" si="202"/>
        <v>11025.76</v>
      </c>
      <c r="CQ259">
        <f>AC259*BC259</f>
        <v>1378.22</v>
      </c>
      <c r="CR259">
        <f t="shared" si="203"/>
        <v>0</v>
      </c>
      <c r="CS259">
        <f t="shared" si="204"/>
        <v>0</v>
      </c>
      <c r="CT259">
        <f t="shared" si="204"/>
        <v>0</v>
      </c>
      <c r="CU259">
        <f t="shared" si="204"/>
        <v>0</v>
      </c>
      <c r="CV259">
        <f t="shared" si="204"/>
        <v>0</v>
      </c>
      <c r="CW259">
        <f t="shared" si="204"/>
        <v>0</v>
      </c>
      <c r="CX259">
        <f t="shared" si="204"/>
        <v>0</v>
      </c>
      <c r="CY259">
        <f t="shared" si="205"/>
        <v>0</v>
      </c>
      <c r="CZ259">
        <f t="shared" si="206"/>
        <v>0</v>
      </c>
      <c r="DC259" t="s">
        <v>3</v>
      </c>
      <c r="DD259" t="s">
        <v>3</v>
      </c>
      <c r="DE259" t="s">
        <v>3</v>
      </c>
      <c r="DF259" t="s">
        <v>3</v>
      </c>
      <c r="DG259" t="s">
        <v>3</v>
      </c>
      <c r="DH259" t="s">
        <v>3</v>
      </c>
      <c r="DI259" t="s">
        <v>3</v>
      </c>
      <c r="DJ259" t="s">
        <v>3</v>
      </c>
      <c r="DK259" t="s">
        <v>3</v>
      </c>
      <c r="DL259" t="s">
        <v>3</v>
      </c>
      <c r="DM259" t="s">
        <v>3</v>
      </c>
      <c r="DN259">
        <v>0</v>
      </c>
      <c r="DO259">
        <v>0</v>
      </c>
      <c r="DP259">
        <v>1</v>
      </c>
      <c r="DQ259">
        <v>1</v>
      </c>
      <c r="DU259">
        <v>1013</v>
      </c>
      <c r="DV259" t="s">
        <v>369</v>
      </c>
      <c r="DW259" t="s">
        <v>369</v>
      </c>
      <c r="DX259">
        <v>1</v>
      </c>
      <c r="DZ259" t="s">
        <v>3</v>
      </c>
      <c r="EA259" t="s">
        <v>3</v>
      </c>
      <c r="EB259" t="s">
        <v>3</v>
      </c>
      <c r="EC259" t="s">
        <v>3</v>
      </c>
      <c r="EE259">
        <v>41328222</v>
      </c>
      <c r="EF259">
        <v>12</v>
      </c>
      <c r="EG259" t="s">
        <v>221</v>
      </c>
      <c r="EH259">
        <v>0</v>
      </c>
      <c r="EI259" t="s">
        <v>3</v>
      </c>
      <c r="EJ259">
        <v>2</v>
      </c>
      <c r="EK259">
        <v>500002</v>
      </c>
      <c r="EL259" t="s">
        <v>222</v>
      </c>
      <c r="EM259" t="s">
        <v>223</v>
      </c>
      <c r="EO259" t="s">
        <v>3</v>
      </c>
      <c r="EQ259">
        <v>131072</v>
      </c>
      <c r="ER259">
        <v>1378.22</v>
      </c>
      <c r="ES259">
        <v>1378.22</v>
      </c>
      <c r="ET259">
        <v>0</v>
      </c>
      <c r="EU259">
        <v>0</v>
      </c>
      <c r="EV259">
        <v>0</v>
      </c>
      <c r="EW259">
        <v>0</v>
      </c>
      <c r="EX259">
        <v>0</v>
      </c>
      <c r="EY259">
        <v>0</v>
      </c>
      <c r="FQ259">
        <v>0</v>
      </c>
      <c r="FR259">
        <f t="shared" si="207"/>
        <v>0</v>
      </c>
      <c r="FS259">
        <v>0</v>
      </c>
      <c r="FX259">
        <v>0</v>
      </c>
      <c r="FY259">
        <v>0</v>
      </c>
      <c r="GA259" t="s">
        <v>3</v>
      </c>
      <c r="GD259">
        <v>1</v>
      </c>
      <c r="GF259">
        <v>-998391955</v>
      </c>
      <c r="GG259">
        <v>2</v>
      </c>
      <c r="GH259">
        <v>1</v>
      </c>
      <c r="GI259">
        <v>4</v>
      </c>
      <c r="GJ259">
        <v>0</v>
      </c>
      <c r="GK259">
        <v>0</v>
      </c>
      <c r="GL259">
        <f t="shared" si="208"/>
        <v>0</v>
      </c>
      <c r="GM259">
        <f t="shared" si="209"/>
        <v>11025.76</v>
      </c>
      <c r="GN259">
        <f t="shared" si="210"/>
        <v>0</v>
      </c>
      <c r="GO259">
        <f t="shared" si="211"/>
        <v>11025.76</v>
      </c>
      <c r="GP259">
        <f t="shared" si="212"/>
        <v>0</v>
      </c>
      <c r="GR259">
        <v>0</v>
      </c>
      <c r="GS259">
        <v>3</v>
      </c>
      <c r="GT259">
        <v>0</v>
      </c>
      <c r="GU259" t="s">
        <v>3</v>
      </c>
      <c r="GV259">
        <f t="shared" si="213"/>
        <v>0</v>
      </c>
      <c r="GW259">
        <v>1</v>
      </c>
      <c r="GX259">
        <f t="shared" si="214"/>
        <v>0</v>
      </c>
      <c r="HA259">
        <v>0</v>
      </c>
      <c r="HB259">
        <v>0</v>
      </c>
      <c r="HC259">
        <f t="shared" si="215"/>
        <v>0</v>
      </c>
      <c r="HE259" t="s">
        <v>3</v>
      </c>
      <c r="HF259" t="s">
        <v>3</v>
      </c>
      <c r="HI259">
        <f t="shared" si="216"/>
        <v>0</v>
      </c>
      <c r="HJ259">
        <f t="shared" si="217"/>
        <v>0</v>
      </c>
      <c r="HK259">
        <f t="shared" si="218"/>
        <v>0</v>
      </c>
      <c r="HL259">
        <f t="shared" si="219"/>
        <v>0</v>
      </c>
      <c r="HM259" t="s">
        <v>3</v>
      </c>
      <c r="HN259" t="s">
        <v>3</v>
      </c>
      <c r="HO259" t="s">
        <v>3</v>
      </c>
      <c r="HP259" t="s">
        <v>3</v>
      </c>
      <c r="HQ259" t="s">
        <v>3</v>
      </c>
      <c r="IK259">
        <v>0</v>
      </c>
    </row>
    <row r="260" spans="1:245">
      <c r="A260">
        <v>17</v>
      </c>
      <c r="B260">
        <v>1</v>
      </c>
      <c r="E260" t="s">
        <v>375</v>
      </c>
      <c r="F260" t="s">
        <v>376</v>
      </c>
      <c r="G260" t="s">
        <v>377</v>
      </c>
      <c r="H260" t="s">
        <v>363</v>
      </c>
      <c r="I260">
        <v>6</v>
      </c>
      <c r="J260">
        <v>0</v>
      </c>
      <c r="K260">
        <v>6</v>
      </c>
      <c r="O260">
        <f t="shared" si="186"/>
        <v>285.3</v>
      </c>
      <c r="P260">
        <f>ROUND(CQ260*I260,2)</f>
        <v>285.3</v>
      </c>
      <c r="Q260">
        <f t="shared" si="187"/>
        <v>0</v>
      </c>
      <c r="R260">
        <f t="shared" si="188"/>
        <v>0</v>
      </c>
      <c r="S260">
        <f t="shared" si="189"/>
        <v>0</v>
      </c>
      <c r="T260">
        <f t="shared" si="190"/>
        <v>0</v>
      </c>
      <c r="U260">
        <f t="shared" si="191"/>
        <v>0</v>
      </c>
      <c r="V260">
        <f t="shared" si="192"/>
        <v>0</v>
      </c>
      <c r="W260">
        <f t="shared" si="193"/>
        <v>0</v>
      </c>
      <c r="X260">
        <f t="shared" si="194"/>
        <v>0</v>
      </c>
      <c r="Y260">
        <f t="shared" si="194"/>
        <v>0</v>
      </c>
      <c r="AA260">
        <v>47920234</v>
      </c>
      <c r="AB260">
        <f t="shared" si="195"/>
        <v>47.55</v>
      </c>
      <c r="AC260">
        <f t="shared" si="196"/>
        <v>47.55</v>
      </c>
      <c r="AD260">
        <f t="shared" si="197"/>
        <v>0</v>
      </c>
      <c r="AE260">
        <f t="shared" si="198"/>
        <v>0</v>
      </c>
      <c r="AF260">
        <f t="shared" si="198"/>
        <v>0</v>
      </c>
      <c r="AG260">
        <f t="shared" si="199"/>
        <v>0</v>
      </c>
      <c r="AH260">
        <f t="shared" si="200"/>
        <v>0</v>
      </c>
      <c r="AI260">
        <f t="shared" si="200"/>
        <v>0</v>
      </c>
      <c r="AJ260">
        <f t="shared" si="201"/>
        <v>0</v>
      </c>
      <c r="AK260">
        <v>47.55</v>
      </c>
      <c r="AL260">
        <v>47.55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1</v>
      </c>
      <c r="AW260">
        <v>1</v>
      </c>
      <c r="AZ260">
        <v>1</v>
      </c>
      <c r="BA260">
        <v>1</v>
      </c>
      <c r="BB260">
        <v>1</v>
      </c>
      <c r="BC260">
        <v>1</v>
      </c>
      <c r="BD260" t="s">
        <v>3</v>
      </c>
      <c r="BE260" t="s">
        <v>3</v>
      </c>
      <c r="BF260" t="s">
        <v>3</v>
      </c>
      <c r="BG260" t="s">
        <v>3</v>
      </c>
      <c r="BH260">
        <v>3</v>
      </c>
      <c r="BI260">
        <v>2</v>
      </c>
      <c r="BJ260" t="s">
        <v>378</v>
      </c>
      <c r="BM260">
        <v>500002</v>
      </c>
      <c r="BN260">
        <v>0</v>
      </c>
      <c r="BO260" t="s">
        <v>3</v>
      </c>
      <c r="BP260">
        <v>0</v>
      </c>
      <c r="BQ260">
        <v>12</v>
      </c>
      <c r="BR260">
        <v>0</v>
      </c>
      <c r="BS260">
        <v>1</v>
      </c>
      <c r="BT260">
        <v>1</v>
      </c>
      <c r="BU260">
        <v>1</v>
      </c>
      <c r="BV260">
        <v>1</v>
      </c>
      <c r="BW260">
        <v>1</v>
      </c>
      <c r="BX260">
        <v>1</v>
      </c>
      <c r="BY260" t="s">
        <v>3</v>
      </c>
      <c r="BZ260">
        <v>0</v>
      </c>
      <c r="CA260">
        <v>0</v>
      </c>
      <c r="CB260" t="s">
        <v>3</v>
      </c>
      <c r="CE260">
        <v>0</v>
      </c>
      <c r="CF260">
        <v>0</v>
      </c>
      <c r="CG260">
        <v>0</v>
      </c>
      <c r="CM260">
        <v>0</v>
      </c>
      <c r="CN260" t="s">
        <v>3</v>
      </c>
      <c r="CO260">
        <v>0</v>
      </c>
      <c r="CP260">
        <f t="shared" si="202"/>
        <v>285.3</v>
      </c>
      <c r="CQ260">
        <f>AC260*BC260</f>
        <v>47.55</v>
      </c>
      <c r="CR260">
        <f t="shared" si="203"/>
        <v>0</v>
      </c>
      <c r="CS260">
        <f t="shared" si="204"/>
        <v>0</v>
      </c>
      <c r="CT260">
        <f t="shared" si="204"/>
        <v>0</v>
      </c>
      <c r="CU260">
        <f t="shared" si="204"/>
        <v>0</v>
      </c>
      <c r="CV260">
        <f t="shared" si="204"/>
        <v>0</v>
      </c>
      <c r="CW260">
        <f t="shared" si="204"/>
        <v>0</v>
      </c>
      <c r="CX260">
        <f t="shared" si="204"/>
        <v>0</v>
      </c>
      <c r="CY260">
        <f t="shared" si="205"/>
        <v>0</v>
      </c>
      <c r="CZ260">
        <f t="shared" si="206"/>
        <v>0</v>
      </c>
      <c r="DC260" t="s">
        <v>3</v>
      </c>
      <c r="DD260" t="s">
        <v>3</v>
      </c>
      <c r="DE260" t="s">
        <v>3</v>
      </c>
      <c r="DF260" t="s">
        <v>3</v>
      </c>
      <c r="DG260" t="s">
        <v>3</v>
      </c>
      <c r="DH260" t="s">
        <v>3</v>
      </c>
      <c r="DI260" t="s">
        <v>3</v>
      </c>
      <c r="DJ260" t="s">
        <v>3</v>
      </c>
      <c r="DK260" t="s">
        <v>3</v>
      </c>
      <c r="DL260" t="s">
        <v>3</v>
      </c>
      <c r="DM260" t="s">
        <v>3</v>
      </c>
      <c r="DN260">
        <v>0</v>
      </c>
      <c r="DO260">
        <v>0</v>
      </c>
      <c r="DP260">
        <v>1</v>
      </c>
      <c r="DQ260">
        <v>1</v>
      </c>
      <c r="DU260">
        <v>1010</v>
      </c>
      <c r="DV260" t="s">
        <v>363</v>
      </c>
      <c r="DW260" t="s">
        <v>363</v>
      </c>
      <c r="DX260">
        <v>1</v>
      </c>
      <c r="DZ260" t="s">
        <v>3</v>
      </c>
      <c r="EA260" t="s">
        <v>3</v>
      </c>
      <c r="EB260" t="s">
        <v>3</v>
      </c>
      <c r="EC260" t="s">
        <v>3</v>
      </c>
      <c r="EE260">
        <v>41328222</v>
      </c>
      <c r="EF260">
        <v>12</v>
      </c>
      <c r="EG260" t="s">
        <v>221</v>
      </c>
      <c r="EH260">
        <v>0</v>
      </c>
      <c r="EI260" t="s">
        <v>3</v>
      </c>
      <c r="EJ260">
        <v>2</v>
      </c>
      <c r="EK260">
        <v>500002</v>
      </c>
      <c r="EL260" t="s">
        <v>222</v>
      </c>
      <c r="EM260" t="s">
        <v>223</v>
      </c>
      <c r="EO260" t="s">
        <v>3</v>
      </c>
      <c r="EQ260">
        <v>131072</v>
      </c>
      <c r="ER260">
        <v>47.55</v>
      </c>
      <c r="ES260">
        <v>47.55</v>
      </c>
      <c r="ET260">
        <v>0</v>
      </c>
      <c r="EU260">
        <v>0</v>
      </c>
      <c r="EV260">
        <v>0</v>
      </c>
      <c r="EW260">
        <v>0</v>
      </c>
      <c r="EX260">
        <v>0</v>
      </c>
      <c r="EY260">
        <v>0</v>
      </c>
      <c r="FQ260">
        <v>0</v>
      </c>
      <c r="FR260">
        <f t="shared" si="207"/>
        <v>0</v>
      </c>
      <c r="FS260">
        <v>0</v>
      </c>
      <c r="FX260">
        <v>0</v>
      </c>
      <c r="FY260">
        <v>0</v>
      </c>
      <c r="GA260" t="s">
        <v>3</v>
      </c>
      <c r="GD260">
        <v>1</v>
      </c>
      <c r="GF260">
        <v>-1768058086</v>
      </c>
      <c r="GG260">
        <v>2</v>
      </c>
      <c r="GH260">
        <v>1</v>
      </c>
      <c r="GI260">
        <v>4</v>
      </c>
      <c r="GJ260">
        <v>0</v>
      </c>
      <c r="GK260">
        <v>0</v>
      </c>
      <c r="GL260">
        <f t="shared" si="208"/>
        <v>0</v>
      </c>
      <c r="GM260">
        <f t="shared" si="209"/>
        <v>285.3</v>
      </c>
      <c r="GN260">
        <f t="shared" si="210"/>
        <v>0</v>
      </c>
      <c r="GO260">
        <f t="shared" si="211"/>
        <v>285.3</v>
      </c>
      <c r="GP260">
        <f t="shared" si="212"/>
        <v>0</v>
      </c>
      <c r="GR260">
        <v>0</v>
      </c>
      <c r="GS260">
        <v>3</v>
      </c>
      <c r="GT260">
        <v>0</v>
      </c>
      <c r="GU260" t="s">
        <v>3</v>
      </c>
      <c r="GV260">
        <f t="shared" si="213"/>
        <v>0</v>
      </c>
      <c r="GW260">
        <v>1</v>
      </c>
      <c r="GX260">
        <f t="shared" si="214"/>
        <v>0</v>
      </c>
      <c r="HA260">
        <v>0</v>
      </c>
      <c r="HB260">
        <v>0</v>
      </c>
      <c r="HC260">
        <f t="shared" si="215"/>
        <v>0</v>
      </c>
      <c r="HE260" t="s">
        <v>3</v>
      </c>
      <c r="HF260" t="s">
        <v>3</v>
      </c>
      <c r="HI260">
        <f t="shared" si="216"/>
        <v>0</v>
      </c>
      <c r="HJ260">
        <f t="shared" si="217"/>
        <v>0</v>
      </c>
      <c r="HK260">
        <f t="shared" si="218"/>
        <v>0</v>
      </c>
      <c r="HL260">
        <f t="shared" si="219"/>
        <v>0</v>
      </c>
      <c r="HM260" t="s">
        <v>3</v>
      </c>
      <c r="HN260" t="s">
        <v>3</v>
      </c>
      <c r="HO260" t="s">
        <v>3</v>
      </c>
      <c r="HP260" t="s">
        <v>3</v>
      </c>
      <c r="HQ260" t="s">
        <v>3</v>
      </c>
      <c r="IK260">
        <v>0</v>
      </c>
    </row>
    <row r="261" spans="1:245">
      <c r="A261">
        <v>17</v>
      </c>
      <c r="B261">
        <v>1</v>
      </c>
      <c r="E261" t="s">
        <v>379</v>
      </c>
      <c r="F261" t="s">
        <v>352</v>
      </c>
      <c r="G261" t="s">
        <v>380</v>
      </c>
      <c r="H261" t="s">
        <v>381</v>
      </c>
      <c r="I261">
        <v>8</v>
      </c>
      <c r="J261">
        <v>0</v>
      </c>
      <c r="K261">
        <v>8</v>
      </c>
      <c r="O261">
        <f t="shared" si="186"/>
        <v>973.72</v>
      </c>
      <c r="P261">
        <f>ROUND(ROUND(CQ261*I261,2)/BC261,2)</f>
        <v>973.72</v>
      </c>
      <c r="Q261">
        <f t="shared" si="187"/>
        <v>0</v>
      </c>
      <c r="R261">
        <f t="shared" si="188"/>
        <v>0</v>
      </c>
      <c r="S261">
        <f t="shared" si="189"/>
        <v>0</v>
      </c>
      <c r="T261">
        <f t="shared" si="190"/>
        <v>0</v>
      </c>
      <c r="U261">
        <f t="shared" si="191"/>
        <v>0</v>
      </c>
      <c r="V261">
        <f t="shared" si="192"/>
        <v>0</v>
      </c>
      <c r="W261">
        <f t="shared" si="193"/>
        <v>0</v>
      </c>
      <c r="X261">
        <f t="shared" si="194"/>
        <v>0</v>
      </c>
      <c r="Y261">
        <f t="shared" si="194"/>
        <v>0</v>
      </c>
      <c r="AA261">
        <v>47920234</v>
      </c>
      <c r="AB261">
        <f t="shared" si="195"/>
        <v>626.83000000000004</v>
      </c>
      <c r="AC261">
        <f t="shared" si="196"/>
        <v>626.83000000000004</v>
      </c>
      <c r="AD261">
        <f t="shared" si="197"/>
        <v>0</v>
      </c>
      <c r="AE261">
        <f t="shared" si="198"/>
        <v>0</v>
      </c>
      <c r="AF261">
        <f t="shared" si="198"/>
        <v>0</v>
      </c>
      <c r="AG261">
        <f t="shared" si="199"/>
        <v>0</v>
      </c>
      <c r="AH261">
        <f t="shared" si="200"/>
        <v>0</v>
      </c>
      <c r="AI261">
        <f t="shared" si="200"/>
        <v>0</v>
      </c>
      <c r="AJ261">
        <f t="shared" si="201"/>
        <v>0</v>
      </c>
      <c r="AK261">
        <v>626.82999999999993</v>
      </c>
      <c r="AL261">
        <v>626.82999999999993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1</v>
      </c>
      <c r="AW261">
        <v>1</v>
      </c>
      <c r="AZ261">
        <v>1</v>
      </c>
      <c r="BA261">
        <v>1</v>
      </c>
      <c r="BB261">
        <v>1</v>
      </c>
      <c r="BC261">
        <v>5.15</v>
      </c>
      <c r="BD261" t="s">
        <v>3</v>
      </c>
      <c r="BE261" t="s">
        <v>3</v>
      </c>
      <c r="BF261" t="s">
        <v>3</v>
      </c>
      <c r="BG261" t="s">
        <v>3</v>
      </c>
      <c r="BH261">
        <v>3</v>
      </c>
      <c r="BI261">
        <v>2</v>
      </c>
      <c r="BJ261" t="s">
        <v>3</v>
      </c>
      <c r="BM261">
        <v>500004</v>
      </c>
      <c r="BN261">
        <v>0</v>
      </c>
      <c r="BO261" t="s">
        <v>3</v>
      </c>
      <c r="BP261">
        <v>0</v>
      </c>
      <c r="BQ261">
        <v>14</v>
      </c>
      <c r="BR261">
        <v>0</v>
      </c>
      <c r="BS261">
        <v>1</v>
      </c>
      <c r="BT261">
        <v>1</v>
      </c>
      <c r="BU261">
        <v>1</v>
      </c>
      <c r="BV261">
        <v>1</v>
      </c>
      <c r="BW261">
        <v>1</v>
      </c>
      <c r="BX261">
        <v>1</v>
      </c>
      <c r="BY261" t="s">
        <v>3</v>
      </c>
      <c r="BZ261">
        <v>0</v>
      </c>
      <c r="CA261">
        <v>0</v>
      </c>
      <c r="CB261" t="s">
        <v>3</v>
      </c>
      <c r="CE261">
        <v>0</v>
      </c>
      <c r="CF261">
        <v>0</v>
      </c>
      <c r="CG261">
        <v>0</v>
      </c>
      <c r="CM261">
        <v>0</v>
      </c>
      <c r="CN261" t="s">
        <v>3</v>
      </c>
      <c r="CO261">
        <v>0</v>
      </c>
      <c r="CP261">
        <f t="shared" si="202"/>
        <v>973.72</v>
      </c>
      <c r="CQ261">
        <f>AC261</f>
        <v>626.83000000000004</v>
      </c>
      <c r="CR261">
        <f t="shared" si="203"/>
        <v>0</v>
      </c>
      <c r="CS261">
        <f t="shared" si="204"/>
        <v>0</v>
      </c>
      <c r="CT261">
        <f t="shared" si="204"/>
        <v>0</v>
      </c>
      <c r="CU261">
        <f t="shared" si="204"/>
        <v>0</v>
      </c>
      <c r="CV261">
        <f t="shared" si="204"/>
        <v>0</v>
      </c>
      <c r="CW261">
        <f t="shared" si="204"/>
        <v>0</v>
      </c>
      <c r="CX261">
        <f t="shared" si="204"/>
        <v>0</v>
      </c>
      <c r="CY261">
        <f t="shared" si="205"/>
        <v>0</v>
      </c>
      <c r="CZ261">
        <f t="shared" si="206"/>
        <v>0</v>
      </c>
      <c r="DC261" t="s">
        <v>3</v>
      </c>
      <c r="DD261" t="s">
        <v>3</v>
      </c>
      <c r="DE261" t="s">
        <v>3</v>
      </c>
      <c r="DF261" t="s">
        <v>3</v>
      </c>
      <c r="DG261" t="s">
        <v>3</v>
      </c>
      <c r="DH261" t="s">
        <v>3</v>
      </c>
      <c r="DI261" t="s">
        <v>3</v>
      </c>
      <c r="DJ261" t="s">
        <v>3</v>
      </c>
      <c r="DK261" t="s">
        <v>3</v>
      </c>
      <c r="DL261" t="s">
        <v>3</v>
      </c>
      <c r="DM261" t="s">
        <v>3</v>
      </c>
      <c r="DN261">
        <v>0</v>
      </c>
      <c r="DO261">
        <v>0</v>
      </c>
      <c r="DP261">
        <v>1</v>
      </c>
      <c r="DQ261">
        <v>1</v>
      </c>
      <c r="DU261">
        <v>1013</v>
      </c>
      <c r="DV261" t="s">
        <v>381</v>
      </c>
      <c r="DW261" t="s">
        <v>381</v>
      </c>
      <c r="DX261">
        <v>1</v>
      </c>
      <c r="DZ261" t="s">
        <v>3</v>
      </c>
      <c r="EA261" t="s">
        <v>3</v>
      </c>
      <c r="EB261" t="s">
        <v>3</v>
      </c>
      <c r="EC261" t="s">
        <v>3</v>
      </c>
      <c r="EE261">
        <v>41328483</v>
      </c>
      <c r="EF261">
        <v>14</v>
      </c>
      <c r="EG261" t="s">
        <v>316</v>
      </c>
      <c r="EH261">
        <v>0</v>
      </c>
      <c r="EI261" t="s">
        <v>3</v>
      </c>
      <c r="EJ261">
        <v>2</v>
      </c>
      <c r="EK261">
        <v>500004</v>
      </c>
      <c r="EL261" t="s">
        <v>317</v>
      </c>
      <c r="EM261" t="s">
        <v>318</v>
      </c>
      <c r="EO261" t="s">
        <v>3</v>
      </c>
      <c r="EQ261">
        <v>131072</v>
      </c>
      <c r="ER261">
        <v>626.82999999999993</v>
      </c>
      <c r="ES261">
        <v>626.82999999999993</v>
      </c>
      <c r="ET261">
        <v>0</v>
      </c>
      <c r="EU261">
        <v>0</v>
      </c>
      <c r="EV261">
        <v>0</v>
      </c>
      <c r="EW261">
        <v>0</v>
      </c>
      <c r="EX261">
        <v>0</v>
      </c>
      <c r="EY261">
        <v>0</v>
      </c>
      <c r="EZ261">
        <v>5</v>
      </c>
      <c r="FC261">
        <v>1</v>
      </c>
      <c r="FD261">
        <v>18</v>
      </c>
      <c r="FF261">
        <v>699</v>
      </c>
      <c r="FQ261">
        <v>0</v>
      </c>
      <c r="FR261">
        <f t="shared" si="207"/>
        <v>0</v>
      </c>
      <c r="FS261">
        <v>0</v>
      </c>
      <c r="FX261">
        <v>0</v>
      </c>
      <c r="FY261">
        <v>0</v>
      </c>
      <c r="GA261" t="s">
        <v>382</v>
      </c>
      <c r="GD261">
        <v>1</v>
      </c>
      <c r="GF261">
        <v>-2034730766</v>
      </c>
      <c r="GG261">
        <v>2</v>
      </c>
      <c r="GH261">
        <v>3</v>
      </c>
      <c r="GI261">
        <v>4</v>
      </c>
      <c r="GJ261">
        <v>0</v>
      </c>
      <c r="GK261">
        <v>0</v>
      </c>
      <c r="GL261">
        <f t="shared" si="208"/>
        <v>0</v>
      </c>
      <c r="GM261">
        <f t="shared" si="209"/>
        <v>973.72</v>
      </c>
      <c r="GN261">
        <f t="shared" si="210"/>
        <v>0</v>
      </c>
      <c r="GO261">
        <f t="shared" si="211"/>
        <v>973.72</v>
      </c>
      <c r="GP261">
        <f t="shared" si="212"/>
        <v>0</v>
      </c>
      <c r="GR261">
        <v>1</v>
      </c>
      <c r="GS261">
        <v>1</v>
      </c>
      <c r="GT261">
        <v>0</v>
      </c>
      <c r="GU261" t="s">
        <v>3</v>
      </c>
      <c r="GV261">
        <f t="shared" si="213"/>
        <v>0</v>
      </c>
      <c r="GW261">
        <v>1</v>
      </c>
      <c r="GX261">
        <f t="shared" si="214"/>
        <v>0</v>
      </c>
      <c r="HA261">
        <v>0</v>
      </c>
      <c r="HB261">
        <v>0</v>
      </c>
      <c r="HC261">
        <f t="shared" si="215"/>
        <v>0</v>
      </c>
      <c r="HE261" t="s">
        <v>356</v>
      </c>
      <c r="HF261" t="s">
        <v>26</v>
      </c>
      <c r="HG261">
        <f>ROUND(AC261*I261,2)</f>
        <v>5014.6400000000003</v>
      </c>
      <c r="HI261">
        <f t="shared" si="216"/>
        <v>0</v>
      </c>
      <c r="HJ261">
        <f t="shared" si="217"/>
        <v>0</v>
      </c>
      <c r="HK261">
        <f t="shared" si="218"/>
        <v>0</v>
      </c>
      <c r="HL261">
        <f t="shared" si="219"/>
        <v>0</v>
      </c>
      <c r="HM261" t="s">
        <v>3</v>
      </c>
      <c r="HN261" t="s">
        <v>3</v>
      </c>
      <c r="HO261" t="s">
        <v>3</v>
      </c>
      <c r="HP261" t="s">
        <v>3</v>
      </c>
      <c r="HQ261" t="s">
        <v>3</v>
      </c>
      <c r="IK261">
        <v>0</v>
      </c>
    </row>
    <row r="263" spans="1:245">
      <c r="A263" s="2">
        <v>51</v>
      </c>
      <c r="B263" s="2">
        <f>B251</f>
        <v>1</v>
      </c>
      <c r="C263" s="2">
        <f>A251</f>
        <v>4</v>
      </c>
      <c r="D263" s="2">
        <f>ROW(A251)</f>
        <v>251</v>
      </c>
      <c r="E263" s="2"/>
      <c r="F263" s="2" t="str">
        <f>IF(F251&lt;&gt;"",F251,"")</f>
        <v>Новый раздел</v>
      </c>
      <c r="G263" s="2" t="str">
        <f>IF(G251&lt;&gt;"",G251,"")</f>
        <v>Материалы</v>
      </c>
      <c r="H263" s="2">
        <v>0</v>
      </c>
      <c r="I263" s="2"/>
      <c r="J263" s="2"/>
      <c r="K263" s="2"/>
      <c r="L263" s="2"/>
      <c r="M263" s="2"/>
      <c r="N263" s="2"/>
      <c r="O263" s="2">
        <f t="shared" ref="O263:T263" si="220">ROUND(AB263,2)</f>
        <v>293980.61</v>
      </c>
      <c r="P263" s="2">
        <f t="shared" si="220"/>
        <v>293980.61</v>
      </c>
      <c r="Q263" s="2">
        <f t="shared" si="220"/>
        <v>0</v>
      </c>
      <c r="R263" s="2">
        <f t="shared" si="220"/>
        <v>0</v>
      </c>
      <c r="S263" s="2">
        <f t="shared" si="220"/>
        <v>0</v>
      </c>
      <c r="T263" s="2">
        <f t="shared" si="220"/>
        <v>0</v>
      </c>
      <c r="U263" s="2">
        <f>AH263</f>
        <v>0</v>
      </c>
      <c r="V263" s="2">
        <f>AI263</f>
        <v>0</v>
      </c>
      <c r="W263" s="2">
        <f>ROUND(AJ263,2)</f>
        <v>0</v>
      </c>
      <c r="X263" s="2">
        <f>ROUND(AK263,2)</f>
        <v>0</v>
      </c>
      <c r="Y263" s="2">
        <f>ROUND(AL263,2)</f>
        <v>0</v>
      </c>
      <c r="Z263" s="2"/>
      <c r="AA263" s="2"/>
      <c r="AB263" s="2">
        <f>ROUND(SUMIF(AA255:AA261,"=47920234",O255:O261),2)</f>
        <v>293980.61</v>
      </c>
      <c r="AC263" s="2">
        <f>ROUND(SUMIF(AA255:AA261,"=47920234",P255:P261),2)</f>
        <v>293980.61</v>
      </c>
      <c r="AD263" s="2">
        <f>ROUND(SUMIF(AA255:AA261,"=47920234",Q255:Q261),2)</f>
        <v>0</v>
      </c>
      <c r="AE263" s="2">
        <f>ROUND(SUMIF(AA255:AA261,"=47920234",R255:R261),2)</f>
        <v>0</v>
      </c>
      <c r="AF263" s="2">
        <f>ROUND(SUMIF(AA255:AA261,"=47920234",S255:S261),2)</f>
        <v>0</v>
      </c>
      <c r="AG263" s="2">
        <f>ROUND(SUMIF(AA255:AA261,"=47920234",T255:T261),2)</f>
        <v>0</v>
      </c>
      <c r="AH263" s="2">
        <f>SUMIF(AA255:AA261,"=47920234",U255:U261)</f>
        <v>0</v>
      </c>
      <c r="AI263" s="2">
        <f>SUMIF(AA255:AA261,"=47920234",V255:V261)</f>
        <v>0</v>
      </c>
      <c r="AJ263" s="2">
        <f>ROUND(SUMIF(AA255:AA261,"=47920234",W255:W261),2)</f>
        <v>0</v>
      </c>
      <c r="AK263" s="2">
        <f>ROUND(SUMIF(AA255:AA261,"=47920234",X255:X261),2)</f>
        <v>0</v>
      </c>
      <c r="AL263" s="2">
        <f>ROUND(SUMIF(AA255:AA261,"=47920234",Y255:Y261),2)</f>
        <v>0</v>
      </c>
      <c r="AM263" s="2"/>
      <c r="AN263" s="2"/>
      <c r="AO263" s="2">
        <f t="shared" ref="AO263:BD263" si="221">ROUND(BX263,2)</f>
        <v>0</v>
      </c>
      <c r="AP263" s="2">
        <f t="shared" si="221"/>
        <v>0</v>
      </c>
      <c r="AQ263" s="2">
        <f t="shared" si="221"/>
        <v>0</v>
      </c>
      <c r="AR263" s="2">
        <f t="shared" si="221"/>
        <v>293980.61</v>
      </c>
      <c r="AS263" s="2">
        <f t="shared" si="221"/>
        <v>3660</v>
      </c>
      <c r="AT263" s="2">
        <f t="shared" si="221"/>
        <v>290320.61</v>
      </c>
      <c r="AU263" s="2">
        <f t="shared" si="221"/>
        <v>0</v>
      </c>
      <c r="AV263" s="2">
        <f t="shared" si="221"/>
        <v>293980.61</v>
      </c>
      <c r="AW263" s="2">
        <f t="shared" si="221"/>
        <v>293980.61</v>
      </c>
      <c r="AX263" s="2">
        <f t="shared" si="221"/>
        <v>0</v>
      </c>
      <c r="AY263" s="2">
        <f t="shared" si="221"/>
        <v>293980.61</v>
      </c>
      <c r="AZ263" s="2">
        <f t="shared" si="221"/>
        <v>0</v>
      </c>
      <c r="BA263" s="2">
        <f t="shared" si="221"/>
        <v>0</v>
      </c>
      <c r="BB263" s="2">
        <f t="shared" si="221"/>
        <v>0</v>
      </c>
      <c r="BC263" s="2">
        <f t="shared" si="221"/>
        <v>0</v>
      </c>
      <c r="BD263" s="2">
        <f t="shared" si="221"/>
        <v>0</v>
      </c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>
        <f>ROUND(SUMIF(AA255:AA261,"=47920234",FQ255:FQ261),2)</f>
        <v>0</v>
      </c>
      <c r="BY263" s="2">
        <f>ROUND(SUMIF(AA255:AA261,"=47920234",FR255:FR261),2)</f>
        <v>0</v>
      </c>
      <c r="BZ263" s="2">
        <f>ROUND(SUMIF(AA255:AA261,"=47920234",GL255:GL261),2)</f>
        <v>0</v>
      </c>
      <c r="CA263" s="2">
        <f>ROUND(SUMIF(AA255:AA261,"=47920234",GM255:GM261),2)</f>
        <v>293980.61</v>
      </c>
      <c r="CB263" s="2">
        <f>ROUND(SUMIF(AA255:AA261,"=47920234",GN255:GN261),2)</f>
        <v>3660</v>
      </c>
      <c r="CC263" s="2">
        <f>ROUND(SUMIF(AA255:AA261,"=47920234",GO255:GO261),2)</f>
        <v>290320.61</v>
      </c>
      <c r="CD263" s="2">
        <f>ROUND(SUMIF(AA255:AA261,"=47920234",GP255:GP261),2)</f>
        <v>0</v>
      </c>
      <c r="CE263" s="2">
        <f>AC263-BX263</f>
        <v>293980.61</v>
      </c>
      <c r="CF263" s="2">
        <f>AC263-BY263</f>
        <v>293980.61</v>
      </c>
      <c r="CG263" s="2">
        <f>BX263-BZ263</f>
        <v>0</v>
      </c>
      <c r="CH263" s="2">
        <f>AC263-BX263-BY263+BZ263</f>
        <v>293980.61</v>
      </c>
      <c r="CI263" s="2">
        <f>BY263-BZ263</f>
        <v>0</v>
      </c>
      <c r="CJ263" s="2">
        <f>ROUND(SUMIF(AA255:AA261,"=47920234",GX255:GX261),2)</f>
        <v>0</v>
      </c>
      <c r="CK263" s="2">
        <f>ROUND(SUMIF(AA255:AA261,"=47920234",GY255:GY261),2)</f>
        <v>0</v>
      </c>
      <c r="CL263" s="2">
        <f>ROUND(SUMIF(AA255:AA261,"=47920234",GZ255:GZ261),2)</f>
        <v>0</v>
      </c>
      <c r="CM263" s="2">
        <f>ROUND(SUMIF(AA255:AA261,"=47920234",HD255:HD261),2)</f>
        <v>0</v>
      </c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>
        <v>0</v>
      </c>
    </row>
    <row r="265" spans="1:245">
      <c r="A265" s="4">
        <v>50</v>
      </c>
      <c r="B265" s="4">
        <v>0</v>
      </c>
      <c r="C265" s="4">
        <v>0</v>
      </c>
      <c r="D265" s="4">
        <v>1</v>
      </c>
      <c r="E265" s="4">
        <v>0</v>
      </c>
      <c r="F265" s="4">
        <f>ROUND(Source!O263,O265)</f>
        <v>293980.61</v>
      </c>
      <c r="G265" s="4" t="s">
        <v>84</v>
      </c>
      <c r="H265" s="4" t="s">
        <v>85</v>
      </c>
      <c r="I265" s="4"/>
      <c r="J265" s="4"/>
      <c r="K265" s="4">
        <v>201</v>
      </c>
      <c r="L265" s="4">
        <v>1</v>
      </c>
      <c r="M265" s="4">
        <v>3</v>
      </c>
      <c r="N265" s="4" t="s">
        <v>3</v>
      </c>
      <c r="O265" s="4">
        <v>2</v>
      </c>
      <c r="P265" s="4"/>
      <c r="Q265" s="4"/>
      <c r="R265" s="4"/>
      <c r="S265" s="4"/>
      <c r="T265" s="4"/>
      <c r="U265" s="4"/>
      <c r="V265" s="4"/>
      <c r="W265" s="4">
        <v>293980.61</v>
      </c>
      <c r="X265" s="4">
        <v>1</v>
      </c>
      <c r="Y265" s="4">
        <v>1514000.14</v>
      </c>
      <c r="Z265" s="4"/>
      <c r="AA265" s="4"/>
      <c r="AB265" s="4"/>
    </row>
    <row r="266" spans="1:245">
      <c r="A266" s="4">
        <v>50</v>
      </c>
      <c r="B266" s="4">
        <v>0</v>
      </c>
      <c r="C266" s="4">
        <v>0</v>
      </c>
      <c r="D266" s="4">
        <v>1</v>
      </c>
      <c r="E266" s="4">
        <v>202</v>
      </c>
      <c r="F266" s="4">
        <f>ROUND(Source!P263,O266)</f>
        <v>293980.61</v>
      </c>
      <c r="G266" s="4" t="s">
        <v>86</v>
      </c>
      <c r="H266" s="4" t="s">
        <v>87</v>
      </c>
      <c r="I266" s="4"/>
      <c r="J266" s="4"/>
      <c r="K266" s="4">
        <v>202</v>
      </c>
      <c r="L266" s="4">
        <v>2</v>
      </c>
      <c r="M266" s="4">
        <v>3</v>
      </c>
      <c r="N266" s="4" t="s">
        <v>3</v>
      </c>
      <c r="O266" s="4">
        <v>2</v>
      </c>
      <c r="P266" s="4"/>
      <c r="Q266" s="4"/>
      <c r="R266" s="4"/>
      <c r="S266" s="4"/>
      <c r="T266" s="4"/>
      <c r="U266" s="4"/>
      <c r="V266" s="4"/>
      <c r="W266" s="4">
        <v>293980.61</v>
      </c>
      <c r="X266" s="4">
        <v>1</v>
      </c>
      <c r="Y266" s="4">
        <v>0</v>
      </c>
      <c r="Z266" s="4"/>
      <c r="AA266" s="4"/>
      <c r="AB266" s="4"/>
    </row>
    <row r="267" spans="1:245">
      <c r="A267" s="4">
        <v>50</v>
      </c>
      <c r="B267" s="4">
        <v>0</v>
      </c>
      <c r="C267" s="4">
        <v>0</v>
      </c>
      <c r="D267" s="4">
        <v>1</v>
      </c>
      <c r="E267" s="4">
        <v>222</v>
      </c>
      <c r="F267" s="4">
        <f>ROUND(Source!AO263,O267)</f>
        <v>0</v>
      </c>
      <c r="G267" s="4" t="s">
        <v>88</v>
      </c>
      <c r="H267" s="4" t="s">
        <v>89</v>
      </c>
      <c r="I267" s="4"/>
      <c r="J267" s="4"/>
      <c r="K267" s="4">
        <v>222</v>
      </c>
      <c r="L267" s="4">
        <v>3</v>
      </c>
      <c r="M267" s="4">
        <v>3</v>
      </c>
      <c r="N267" s="4" t="s">
        <v>3</v>
      </c>
      <c r="O267" s="4">
        <v>2</v>
      </c>
      <c r="P267" s="4"/>
      <c r="Q267" s="4"/>
      <c r="R267" s="4"/>
      <c r="S267" s="4"/>
      <c r="T267" s="4"/>
      <c r="U267" s="4"/>
      <c r="V267" s="4"/>
      <c r="W267" s="4">
        <v>0</v>
      </c>
      <c r="X267" s="4">
        <v>1</v>
      </c>
      <c r="Y267" s="4">
        <v>0</v>
      </c>
      <c r="Z267" s="4"/>
      <c r="AA267" s="4"/>
      <c r="AB267" s="4"/>
    </row>
    <row r="268" spans="1:245">
      <c r="A268" s="4">
        <v>50</v>
      </c>
      <c r="B268" s="4">
        <v>0</v>
      </c>
      <c r="C268" s="4">
        <v>0</v>
      </c>
      <c r="D268" s="4">
        <v>1</v>
      </c>
      <c r="E268" s="4">
        <v>225</v>
      </c>
      <c r="F268" s="4">
        <f>ROUND(Source!AV263,O268)</f>
        <v>293980.61</v>
      </c>
      <c r="G268" s="4" t="s">
        <v>90</v>
      </c>
      <c r="H268" s="4" t="s">
        <v>91</v>
      </c>
      <c r="I268" s="4"/>
      <c r="J268" s="4"/>
      <c r="K268" s="4">
        <v>225</v>
      </c>
      <c r="L268" s="4">
        <v>4</v>
      </c>
      <c r="M268" s="4">
        <v>3</v>
      </c>
      <c r="N268" s="4" t="s">
        <v>3</v>
      </c>
      <c r="O268" s="4">
        <v>2</v>
      </c>
      <c r="P268" s="4"/>
      <c r="Q268" s="4"/>
      <c r="R268" s="4"/>
      <c r="S268" s="4"/>
      <c r="T268" s="4"/>
      <c r="U268" s="4"/>
      <c r="V268" s="4"/>
      <c r="W268" s="4">
        <v>293980.61</v>
      </c>
      <c r="X268" s="4">
        <v>1</v>
      </c>
      <c r="Y268" s="4">
        <v>0</v>
      </c>
      <c r="Z268" s="4"/>
      <c r="AA268" s="4"/>
      <c r="AB268" s="4"/>
    </row>
    <row r="269" spans="1:245">
      <c r="A269" s="4">
        <v>50</v>
      </c>
      <c r="B269" s="4">
        <v>0</v>
      </c>
      <c r="C269" s="4">
        <v>0</v>
      </c>
      <c r="D269" s="4">
        <v>1</v>
      </c>
      <c r="E269" s="4">
        <v>226</v>
      </c>
      <c r="F269" s="4">
        <f>ROUND(Source!AW263,O269)</f>
        <v>293980.61</v>
      </c>
      <c r="G269" s="4" t="s">
        <v>92</v>
      </c>
      <c r="H269" s="4" t="s">
        <v>93</v>
      </c>
      <c r="I269" s="4"/>
      <c r="J269" s="4"/>
      <c r="K269" s="4">
        <v>226</v>
      </c>
      <c r="L269" s="4">
        <v>5</v>
      </c>
      <c r="M269" s="4">
        <v>3</v>
      </c>
      <c r="N269" s="4" t="s">
        <v>3</v>
      </c>
      <c r="O269" s="4">
        <v>2</v>
      </c>
      <c r="P269" s="4"/>
      <c r="Q269" s="4"/>
      <c r="R269" s="4"/>
      <c r="S269" s="4"/>
      <c r="T269" s="4"/>
      <c r="U269" s="4"/>
      <c r="V269" s="4"/>
      <c r="W269" s="4">
        <v>293980.61</v>
      </c>
      <c r="X269" s="4">
        <v>1</v>
      </c>
      <c r="Y269" s="4">
        <v>1514000.14</v>
      </c>
      <c r="Z269" s="4"/>
      <c r="AA269" s="4"/>
      <c r="AB269" s="4"/>
    </row>
    <row r="270" spans="1:245">
      <c r="A270" s="4">
        <v>50</v>
      </c>
      <c r="B270" s="4">
        <v>0</v>
      </c>
      <c r="C270" s="4">
        <v>0</v>
      </c>
      <c r="D270" s="4">
        <v>1</v>
      </c>
      <c r="E270" s="4">
        <v>227</v>
      </c>
      <c r="F270" s="4">
        <f>ROUND(Source!AX263,O270)</f>
        <v>0</v>
      </c>
      <c r="G270" s="4" t="s">
        <v>94</v>
      </c>
      <c r="H270" s="4" t="s">
        <v>95</v>
      </c>
      <c r="I270" s="4"/>
      <c r="J270" s="4"/>
      <c r="K270" s="4">
        <v>227</v>
      </c>
      <c r="L270" s="4">
        <v>6</v>
      </c>
      <c r="M270" s="4">
        <v>3</v>
      </c>
      <c r="N270" s="4" t="s">
        <v>3</v>
      </c>
      <c r="O270" s="4">
        <v>2</v>
      </c>
      <c r="P270" s="4"/>
      <c r="Q270" s="4"/>
      <c r="R270" s="4"/>
      <c r="S270" s="4"/>
      <c r="T270" s="4"/>
      <c r="U270" s="4"/>
      <c r="V270" s="4"/>
      <c r="W270" s="4">
        <v>0</v>
      </c>
      <c r="X270" s="4">
        <v>1</v>
      </c>
      <c r="Y270" s="4">
        <v>0</v>
      </c>
      <c r="Z270" s="4"/>
      <c r="AA270" s="4"/>
      <c r="AB270" s="4"/>
    </row>
    <row r="271" spans="1:245">
      <c r="A271" s="4">
        <v>50</v>
      </c>
      <c r="B271" s="4">
        <v>0</v>
      </c>
      <c r="C271" s="4">
        <v>0</v>
      </c>
      <c r="D271" s="4">
        <v>1</v>
      </c>
      <c r="E271" s="4">
        <v>228</v>
      </c>
      <c r="F271" s="4">
        <f>ROUND(Source!AY263,O271)</f>
        <v>293980.61</v>
      </c>
      <c r="G271" s="4" t="s">
        <v>96</v>
      </c>
      <c r="H271" s="4" t="s">
        <v>97</v>
      </c>
      <c r="I271" s="4"/>
      <c r="J271" s="4"/>
      <c r="K271" s="4">
        <v>228</v>
      </c>
      <c r="L271" s="4">
        <v>7</v>
      </c>
      <c r="M271" s="4">
        <v>3</v>
      </c>
      <c r="N271" s="4" t="s">
        <v>3</v>
      </c>
      <c r="O271" s="4">
        <v>2</v>
      </c>
      <c r="P271" s="4"/>
      <c r="Q271" s="4"/>
      <c r="R271" s="4"/>
      <c r="S271" s="4"/>
      <c r="T271" s="4"/>
      <c r="U271" s="4"/>
      <c r="V271" s="4"/>
      <c r="W271" s="4">
        <v>293980.61</v>
      </c>
      <c r="X271" s="4">
        <v>1</v>
      </c>
      <c r="Y271" s="4">
        <v>1514000.14</v>
      </c>
      <c r="Z271" s="4"/>
      <c r="AA271" s="4"/>
      <c r="AB271" s="4"/>
    </row>
    <row r="272" spans="1:245">
      <c r="A272" s="4">
        <v>50</v>
      </c>
      <c r="B272" s="4">
        <v>0</v>
      </c>
      <c r="C272" s="4">
        <v>0</v>
      </c>
      <c r="D272" s="4">
        <v>1</v>
      </c>
      <c r="E272" s="4">
        <v>216</v>
      </c>
      <c r="F272" s="4">
        <f>ROUND(Source!AP263,O272)</f>
        <v>0</v>
      </c>
      <c r="G272" s="4" t="s">
        <v>98</v>
      </c>
      <c r="H272" s="4" t="s">
        <v>99</v>
      </c>
      <c r="I272" s="4"/>
      <c r="J272" s="4"/>
      <c r="K272" s="4">
        <v>216</v>
      </c>
      <c r="L272" s="4">
        <v>8</v>
      </c>
      <c r="M272" s="4">
        <v>3</v>
      </c>
      <c r="N272" s="4" t="s">
        <v>3</v>
      </c>
      <c r="O272" s="4">
        <v>2</v>
      </c>
      <c r="P272" s="4"/>
      <c r="Q272" s="4"/>
      <c r="R272" s="4"/>
      <c r="S272" s="4"/>
      <c r="T272" s="4"/>
      <c r="U272" s="4"/>
      <c r="V272" s="4"/>
      <c r="W272" s="4">
        <v>0</v>
      </c>
      <c r="X272" s="4">
        <v>1</v>
      </c>
      <c r="Y272" s="4">
        <v>0</v>
      </c>
      <c r="Z272" s="4"/>
      <c r="AA272" s="4"/>
      <c r="AB272" s="4"/>
    </row>
    <row r="273" spans="1:28">
      <c r="A273" s="4">
        <v>50</v>
      </c>
      <c r="B273" s="4">
        <v>0</v>
      </c>
      <c r="C273" s="4">
        <v>0</v>
      </c>
      <c r="D273" s="4">
        <v>1</v>
      </c>
      <c r="E273" s="4">
        <v>223</v>
      </c>
      <c r="F273" s="4">
        <f>ROUND(Source!AQ263,O273)</f>
        <v>0</v>
      </c>
      <c r="G273" s="4" t="s">
        <v>100</v>
      </c>
      <c r="H273" s="4" t="s">
        <v>101</v>
      </c>
      <c r="I273" s="4"/>
      <c r="J273" s="4"/>
      <c r="K273" s="4">
        <v>223</v>
      </c>
      <c r="L273" s="4">
        <v>9</v>
      </c>
      <c r="M273" s="4">
        <v>3</v>
      </c>
      <c r="N273" s="4" t="s">
        <v>3</v>
      </c>
      <c r="O273" s="4">
        <v>2</v>
      </c>
      <c r="P273" s="4"/>
      <c r="Q273" s="4"/>
      <c r="R273" s="4"/>
      <c r="S273" s="4"/>
      <c r="T273" s="4"/>
      <c r="U273" s="4"/>
      <c r="V273" s="4"/>
      <c r="W273" s="4">
        <v>0</v>
      </c>
      <c r="X273" s="4">
        <v>1</v>
      </c>
      <c r="Y273" s="4">
        <v>0</v>
      </c>
      <c r="Z273" s="4"/>
      <c r="AA273" s="4"/>
      <c r="AB273" s="4"/>
    </row>
    <row r="274" spans="1:28">
      <c r="A274" s="4">
        <v>50</v>
      </c>
      <c r="B274" s="4">
        <v>0</v>
      </c>
      <c r="C274" s="4">
        <v>0</v>
      </c>
      <c r="D274" s="4">
        <v>1</v>
      </c>
      <c r="E274" s="4">
        <v>229</v>
      </c>
      <c r="F274" s="4">
        <f>ROUND(Source!AZ263,O274)</f>
        <v>0</v>
      </c>
      <c r="G274" s="4" t="s">
        <v>102</v>
      </c>
      <c r="H274" s="4" t="s">
        <v>103</v>
      </c>
      <c r="I274" s="4"/>
      <c r="J274" s="4"/>
      <c r="K274" s="4">
        <v>229</v>
      </c>
      <c r="L274" s="4">
        <v>10</v>
      </c>
      <c r="M274" s="4">
        <v>3</v>
      </c>
      <c r="N274" s="4" t="s">
        <v>3</v>
      </c>
      <c r="O274" s="4">
        <v>2</v>
      </c>
      <c r="P274" s="4"/>
      <c r="Q274" s="4"/>
      <c r="R274" s="4"/>
      <c r="S274" s="4"/>
      <c r="T274" s="4"/>
      <c r="U274" s="4"/>
      <c r="V274" s="4"/>
      <c r="W274" s="4">
        <v>0</v>
      </c>
      <c r="X274" s="4">
        <v>1</v>
      </c>
      <c r="Y274" s="4">
        <v>0</v>
      </c>
      <c r="Z274" s="4"/>
      <c r="AA274" s="4"/>
      <c r="AB274" s="4"/>
    </row>
    <row r="275" spans="1:28">
      <c r="A275" s="4">
        <v>50</v>
      </c>
      <c r="B275" s="4">
        <v>0</v>
      </c>
      <c r="C275" s="4">
        <v>0</v>
      </c>
      <c r="D275" s="4">
        <v>1</v>
      </c>
      <c r="E275" s="4">
        <v>203</v>
      </c>
      <c r="F275" s="4">
        <f>ROUND(Source!Q263,O275)</f>
        <v>0</v>
      </c>
      <c r="G275" s="4" t="s">
        <v>104</v>
      </c>
      <c r="H275" s="4" t="s">
        <v>105</v>
      </c>
      <c r="I275" s="4"/>
      <c r="J275" s="4"/>
      <c r="K275" s="4">
        <v>203</v>
      </c>
      <c r="L275" s="4">
        <v>11</v>
      </c>
      <c r="M275" s="4">
        <v>3</v>
      </c>
      <c r="N275" s="4" t="s">
        <v>3</v>
      </c>
      <c r="O275" s="4">
        <v>2</v>
      </c>
      <c r="P275" s="4"/>
      <c r="Q275" s="4"/>
      <c r="R275" s="4"/>
      <c r="S275" s="4"/>
      <c r="T275" s="4"/>
      <c r="U275" s="4"/>
      <c r="V275" s="4"/>
      <c r="W275" s="4">
        <v>0</v>
      </c>
      <c r="X275" s="4">
        <v>1</v>
      </c>
      <c r="Y275" s="4">
        <v>0</v>
      </c>
      <c r="Z275" s="4"/>
      <c r="AA275" s="4"/>
      <c r="AB275" s="4"/>
    </row>
    <row r="276" spans="1:28">
      <c r="A276" s="4">
        <v>50</v>
      </c>
      <c r="B276" s="4">
        <v>0</v>
      </c>
      <c r="C276" s="4">
        <v>0</v>
      </c>
      <c r="D276" s="4">
        <v>1</v>
      </c>
      <c r="E276" s="4">
        <v>231</v>
      </c>
      <c r="F276" s="4">
        <f>ROUND(Source!BB263,O276)</f>
        <v>0</v>
      </c>
      <c r="G276" s="4" t="s">
        <v>106</v>
      </c>
      <c r="H276" s="4" t="s">
        <v>107</v>
      </c>
      <c r="I276" s="4"/>
      <c r="J276" s="4"/>
      <c r="K276" s="4">
        <v>231</v>
      </c>
      <c r="L276" s="4">
        <v>12</v>
      </c>
      <c r="M276" s="4">
        <v>3</v>
      </c>
      <c r="N276" s="4" t="s">
        <v>3</v>
      </c>
      <c r="O276" s="4">
        <v>2</v>
      </c>
      <c r="P276" s="4"/>
      <c r="Q276" s="4"/>
      <c r="R276" s="4"/>
      <c r="S276" s="4"/>
      <c r="T276" s="4"/>
      <c r="U276" s="4"/>
      <c r="V276" s="4"/>
      <c r="W276" s="4">
        <v>0</v>
      </c>
      <c r="X276" s="4">
        <v>1</v>
      </c>
      <c r="Y276" s="4">
        <v>0</v>
      </c>
      <c r="Z276" s="4"/>
      <c r="AA276" s="4"/>
      <c r="AB276" s="4"/>
    </row>
    <row r="277" spans="1:28">
      <c r="A277" s="4">
        <v>50</v>
      </c>
      <c r="B277" s="4">
        <v>0</v>
      </c>
      <c r="C277" s="4">
        <v>0</v>
      </c>
      <c r="D277" s="4">
        <v>1</v>
      </c>
      <c r="E277" s="4">
        <v>204</v>
      </c>
      <c r="F277" s="4">
        <f>ROUND(Source!R263,O277)</f>
        <v>0</v>
      </c>
      <c r="G277" s="4" t="s">
        <v>108</v>
      </c>
      <c r="H277" s="4" t="s">
        <v>109</v>
      </c>
      <c r="I277" s="4"/>
      <c r="J277" s="4"/>
      <c r="K277" s="4">
        <v>204</v>
      </c>
      <c r="L277" s="4">
        <v>13</v>
      </c>
      <c r="M277" s="4">
        <v>3</v>
      </c>
      <c r="N277" s="4" t="s">
        <v>3</v>
      </c>
      <c r="O277" s="4">
        <v>2</v>
      </c>
      <c r="P277" s="4"/>
      <c r="Q277" s="4"/>
      <c r="R277" s="4"/>
      <c r="S277" s="4"/>
      <c r="T277" s="4"/>
      <c r="U277" s="4"/>
      <c r="V277" s="4"/>
      <c r="W277" s="4">
        <v>0</v>
      </c>
      <c r="X277" s="4">
        <v>1</v>
      </c>
      <c r="Y277" s="4">
        <v>0</v>
      </c>
      <c r="Z277" s="4"/>
      <c r="AA277" s="4"/>
      <c r="AB277" s="4"/>
    </row>
    <row r="278" spans="1:28">
      <c r="A278" s="4">
        <v>50</v>
      </c>
      <c r="B278" s="4">
        <v>0</v>
      </c>
      <c r="C278" s="4">
        <v>0</v>
      </c>
      <c r="D278" s="4">
        <v>1</v>
      </c>
      <c r="E278" s="4">
        <v>205</v>
      </c>
      <c r="F278" s="4">
        <f>ROUND(Source!S263,O278)</f>
        <v>0</v>
      </c>
      <c r="G278" s="4" t="s">
        <v>110</v>
      </c>
      <c r="H278" s="4" t="s">
        <v>111</v>
      </c>
      <c r="I278" s="4"/>
      <c r="J278" s="4"/>
      <c r="K278" s="4">
        <v>205</v>
      </c>
      <c r="L278" s="4">
        <v>14</v>
      </c>
      <c r="M278" s="4">
        <v>3</v>
      </c>
      <c r="N278" s="4" t="s">
        <v>3</v>
      </c>
      <c r="O278" s="4">
        <v>2</v>
      </c>
      <c r="P278" s="4"/>
      <c r="Q278" s="4"/>
      <c r="R278" s="4"/>
      <c r="S278" s="4"/>
      <c r="T278" s="4"/>
      <c r="U278" s="4"/>
      <c r="V278" s="4"/>
      <c r="W278" s="4">
        <v>0</v>
      </c>
      <c r="X278" s="4">
        <v>1</v>
      </c>
      <c r="Y278" s="4">
        <v>0</v>
      </c>
      <c r="Z278" s="4"/>
      <c r="AA278" s="4"/>
      <c r="AB278" s="4"/>
    </row>
    <row r="279" spans="1:28">
      <c r="A279" s="4">
        <v>50</v>
      </c>
      <c r="B279" s="4">
        <v>0</v>
      </c>
      <c r="C279" s="4">
        <v>0</v>
      </c>
      <c r="D279" s="4">
        <v>1</v>
      </c>
      <c r="E279" s="4">
        <v>232</v>
      </c>
      <c r="F279" s="4">
        <f>ROUND(Source!BC263,O279)</f>
        <v>0</v>
      </c>
      <c r="G279" s="4" t="s">
        <v>112</v>
      </c>
      <c r="H279" s="4" t="s">
        <v>113</v>
      </c>
      <c r="I279" s="4"/>
      <c r="J279" s="4"/>
      <c r="K279" s="4">
        <v>232</v>
      </c>
      <c r="L279" s="4">
        <v>15</v>
      </c>
      <c r="M279" s="4">
        <v>3</v>
      </c>
      <c r="N279" s="4" t="s">
        <v>3</v>
      </c>
      <c r="O279" s="4">
        <v>2</v>
      </c>
      <c r="P279" s="4"/>
      <c r="Q279" s="4"/>
      <c r="R279" s="4"/>
      <c r="S279" s="4"/>
      <c r="T279" s="4"/>
      <c r="U279" s="4"/>
      <c r="V279" s="4"/>
      <c r="W279" s="4">
        <v>0</v>
      </c>
      <c r="X279" s="4">
        <v>1</v>
      </c>
      <c r="Y279" s="4">
        <v>0</v>
      </c>
      <c r="Z279" s="4"/>
      <c r="AA279" s="4"/>
      <c r="AB279" s="4"/>
    </row>
    <row r="280" spans="1:28">
      <c r="A280" s="4">
        <v>50</v>
      </c>
      <c r="B280" s="4">
        <v>0</v>
      </c>
      <c r="C280" s="4">
        <v>0</v>
      </c>
      <c r="D280" s="4">
        <v>1</v>
      </c>
      <c r="E280" s="4">
        <v>214</v>
      </c>
      <c r="F280" s="4">
        <f>ROUND(Source!AS263,O280)</f>
        <v>3660</v>
      </c>
      <c r="G280" s="4" t="s">
        <v>114</v>
      </c>
      <c r="H280" s="4" t="s">
        <v>115</v>
      </c>
      <c r="I280" s="4"/>
      <c r="J280" s="4"/>
      <c r="K280" s="4">
        <v>214</v>
      </c>
      <c r="L280" s="4">
        <v>16</v>
      </c>
      <c r="M280" s="4">
        <v>3</v>
      </c>
      <c r="N280" s="4" t="s">
        <v>3</v>
      </c>
      <c r="O280" s="4">
        <v>2</v>
      </c>
      <c r="P280" s="4"/>
      <c r="Q280" s="4"/>
      <c r="R280" s="4"/>
      <c r="S280" s="4"/>
      <c r="T280" s="4"/>
      <c r="U280" s="4"/>
      <c r="V280" s="4"/>
      <c r="W280" s="4">
        <v>3660</v>
      </c>
      <c r="X280" s="4">
        <v>1</v>
      </c>
      <c r="Y280" s="4">
        <v>18849</v>
      </c>
      <c r="Z280" s="4"/>
      <c r="AA280" s="4"/>
      <c r="AB280" s="4"/>
    </row>
    <row r="281" spans="1:28">
      <c r="A281" s="4">
        <v>50</v>
      </c>
      <c r="B281" s="4">
        <v>0</v>
      </c>
      <c r="C281" s="4">
        <v>0</v>
      </c>
      <c r="D281" s="4">
        <v>1</v>
      </c>
      <c r="E281" s="4">
        <v>215</v>
      </c>
      <c r="F281" s="4">
        <f>ROUND(Source!AT263,O281)</f>
        <v>290320.61</v>
      </c>
      <c r="G281" s="4" t="s">
        <v>116</v>
      </c>
      <c r="H281" s="4" t="s">
        <v>117</v>
      </c>
      <c r="I281" s="4"/>
      <c r="J281" s="4"/>
      <c r="K281" s="4">
        <v>215</v>
      </c>
      <c r="L281" s="4">
        <v>17</v>
      </c>
      <c r="M281" s="4">
        <v>3</v>
      </c>
      <c r="N281" s="4" t="s">
        <v>3</v>
      </c>
      <c r="O281" s="4">
        <v>2</v>
      </c>
      <c r="P281" s="4"/>
      <c r="Q281" s="4"/>
      <c r="R281" s="4"/>
      <c r="S281" s="4"/>
      <c r="T281" s="4"/>
      <c r="U281" s="4"/>
      <c r="V281" s="4"/>
      <c r="W281" s="4">
        <v>290320.61</v>
      </c>
      <c r="X281" s="4">
        <v>1</v>
      </c>
      <c r="Y281" s="4">
        <v>1495151.14</v>
      </c>
      <c r="Z281" s="4"/>
      <c r="AA281" s="4"/>
      <c r="AB281" s="4"/>
    </row>
    <row r="282" spans="1:28">
      <c r="A282" s="4">
        <v>50</v>
      </c>
      <c r="B282" s="4">
        <v>0</v>
      </c>
      <c r="C282" s="4">
        <v>0</v>
      </c>
      <c r="D282" s="4">
        <v>1</v>
      </c>
      <c r="E282" s="4">
        <v>217</v>
      </c>
      <c r="F282" s="4">
        <f>ROUND(Source!AU263,O282)</f>
        <v>0</v>
      </c>
      <c r="G282" s="4" t="s">
        <v>118</v>
      </c>
      <c r="H282" s="4" t="s">
        <v>119</v>
      </c>
      <c r="I282" s="4"/>
      <c r="J282" s="4"/>
      <c r="K282" s="4">
        <v>217</v>
      </c>
      <c r="L282" s="4">
        <v>18</v>
      </c>
      <c r="M282" s="4">
        <v>3</v>
      </c>
      <c r="N282" s="4" t="s">
        <v>3</v>
      </c>
      <c r="O282" s="4">
        <v>2</v>
      </c>
      <c r="P282" s="4"/>
      <c r="Q282" s="4"/>
      <c r="R282" s="4"/>
      <c r="S282" s="4"/>
      <c r="T282" s="4"/>
      <c r="U282" s="4"/>
      <c r="V282" s="4"/>
      <c r="W282" s="4">
        <v>0</v>
      </c>
      <c r="X282" s="4">
        <v>1</v>
      </c>
      <c r="Y282" s="4">
        <v>0</v>
      </c>
      <c r="Z282" s="4"/>
      <c r="AA282" s="4"/>
      <c r="AB282" s="4"/>
    </row>
    <row r="283" spans="1:28">
      <c r="A283" s="4">
        <v>50</v>
      </c>
      <c r="B283" s="4">
        <v>0</v>
      </c>
      <c r="C283" s="4">
        <v>0</v>
      </c>
      <c r="D283" s="4">
        <v>1</v>
      </c>
      <c r="E283" s="4">
        <v>230</v>
      </c>
      <c r="F283" s="4">
        <f>ROUND(Source!BA263,O283)</f>
        <v>0</v>
      </c>
      <c r="G283" s="4" t="s">
        <v>120</v>
      </c>
      <c r="H283" s="4" t="s">
        <v>121</v>
      </c>
      <c r="I283" s="4"/>
      <c r="J283" s="4"/>
      <c r="K283" s="4">
        <v>230</v>
      </c>
      <c r="L283" s="4">
        <v>19</v>
      </c>
      <c r="M283" s="4">
        <v>3</v>
      </c>
      <c r="N283" s="4" t="s">
        <v>3</v>
      </c>
      <c r="O283" s="4">
        <v>2</v>
      </c>
      <c r="P283" s="4"/>
      <c r="Q283" s="4"/>
      <c r="R283" s="4"/>
      <c r="S283" s="4"/>
      <c r="T283" s="4"/>
      <c r="U283" s="4"/>
      <c r="V283" s="4"/>
      <c r="W283" s="4">
        <v>0</v>
      </c>
      <c r="X283" s="4">
        <v>1</v>
      </c>
      <c r="Y283" s="4">
        <v>0</v>
      </c>
      <c r="Z283" s="4"/>
      <c r="AA283" s="4"/>
      <c r="AB283" s="4"/>
    </row>
    <row r="284" spans="1:28">
      <c r="A284" s="4">
        <v>50</v>
      </c>
      <c r="B284" s="4">
        <v>0</v>
      </c>
      <c r="C284" s="4">
        <v>0</v>
      </c>
      <c r="D284" s="4">
        <v>1</v>
      </c>
      <c r="E284" s="4">
        <v>206</v>
      </c>
      <c r="F284" s="4">
        <f>ROUND(Source!T263,O284)</f>
        <v>0</v>
      </c>
      <c r="G284" s="4" t="s">
        <v>122</v>
      </c>
      <c r="H284" s="4" t="s">
        <v>123</v>
      </c>
      <c r="I284" s="4"/>
      <c r="J284" s="4"/>
      <c r="K284" s="4">
        <v>206</v>
      </c>
      <c r="L284" s="4">
        <v>20</v>
      </c>
      <c r="M284" s="4">
        <v>3</v>
      </c>
      <c r="N284" s="4" t="s">
        <v>3</v>
      </c>
      <c r="O284" s="4">
        <v>2</v>
      </c>
      <c r="P284" s="4"/>
      <c r="Q284" s="4"/>
      <c r="R284" s="4"/>
      <c r="S284" s="4"/>
      <c r="T284" s="4"/>
      <c r="U284" s="4"/>
      <c r="V284" s="4"/>
      <c r="W284" s="4">
        <v>0</v>
      </c>
      <c r="X284" s="4">
        <v>1</v>
      </c>
      <c r="Y284" s="4">
        <v>0</v>
      </c>
      <c r="Z284" s="4"/>
      <c r="AA284" s="4"/>
      <c r="AB284" s="4"/>
    </row>
    <row r="285" spans="1:28">
      <c r="A285" s="4">
        <v>50</v>
      </c>
      <c r="B285" s="4">
        <v>0</v>
      </c>
      <c r="C285" s="4">
        <v>0</v>
      </c>
      <c r="D285" s="4">
        <v>1</v>
      </c>
      <c r="E285" s="4">
        <v>207</v>
      </c>
      <c r="F285" s="4">
        <f>Source!U263</f>
        <v>0</v>
      </c>
      <c r="G285" s="4" t="s">
        <v>124</v>
      </c>
      <c r="H285" s="4" t="s">
        <v>125</v>
      </c>
      <c r="I285" s="4"/>
      <c r="J285" s="4"/>
      <c r="K285" s="4">
        <v>207</v>
      </c>
      <c r="L285" s="4">
        <v>21</v>
      </c>
      <c r="M285" s="4">
        <v>3</v>
      </c>
      <c r="N285" s="4" t="s">
        <v>3</v>
      </c>
      <c r="O285" s="4">
        <v>-1</v>
      </c>
      <c r="P285" s="4"/>
      <c r="Q285" s="4"/>
      <c r="R285" s="4"/>
      <c r="S285" s="4"/>
      <c r="T285" s="4"/>
      <c r="U285" s="4"/>
      <c r="V285" s="4"/>
      <c r="W285" s="4">
        <v>0</v>
      </c>
      <c r="X285" s="4">
        <v>1</v>
      </c>
      <c r="Y285" s="4">
        <v>0</v>
      </c>
      <c r="Z285" s="4"/>
      <c r="AA285" s="4"/>
      <c r="AB285" s="4"/>
    </row>
    <row r="286" spans="1:28">
      <c r="A286" s="4">
        <v>50</v>
      </c>
      <c r="B286" s="4">
        <v>0</v>
      </c>
      <c r="C286" s="4">
        <v>0</v>
      </c>
      <c r="D286" s="4">
        <v>1</v>
      </c>
      <c r="E286" s="4">
        <v>208</v>
      </c>
      <c r="F286" s="4">
        <f>Source!V263</f>
        <v>0</v>
      </c>
      <c r="G286" s="4" t="s">
        <v>126</v>
      </c>
      <c r="H286" s="4" t="s">
        <v>127</v>
      </c>
      <c r="I286" s="4"/>
      <c r="J286" s="4"/>
      <c r="K286" s="4">
        <v>208</v>
      </c>
      <c r="L286" s="4">
        <v>22</v>
      </c>
      <c r="M286" s="4">
        <v>3</v>
      </c>
      <c r="N286" s="4" t="s">
        <v>3</v>
      </c>
      <c r="O286" s="4">
        <v>-1</v>
      </c>
      <c r="P286" s="4"/>
      <c r="Q286" s="4"/>
      <c r="R286" s="4"/>
      <c r="S286" s="4"/>
      <c r="T286" s="4"/>
      <c r="U286" s="4"/>
      <c r="V286" s="4"/>
      <c r="W286" s="4">
        <v>0</v>
      </c>
      <c r="X286" s="4">
        <v>1</v>
      </c>
      <c r="Y286" s="4">
        <v>0</v>
      </c>
      <c r="Z286" s="4"/>
      <c r="AA286" s="4"/>
      <c r="AB286" s="4"/>
    </row>
    <row r="287" spans="1:28">
      <c r="A287" s="4">
        <v>50</v>
      </c>
      <c r="B287" s="4">
        <v>0</v>
      </c>
      <c r="C287" s="4">
        <v>0</v>
      </c>
      <c r="D287" s="4">
        <v>1</v>
      </c>
      <c r="E287" s="4">
        <v>209</v>
      </c>
      <c r="F287" s="4">
        <f>ROUND(Source!W263,O287)</f>
        <v>0</v>
      </c>
      <c r="G287" s="4" t="s">
        <v>128</v>
      </c>
      <c r="H287" s="4" t="s">
        <v>129</v>
      </c>
      <c r="I287" s="4"/>
      <c r="J287" s="4"/>
      <c r="K287" s="4">
        <v>209</v>
      </c>
      <c r="L287" s="4">
        <v>23</v>
      </c>
      <c r="M287" s="4">
        <v>3</v>
      </c>
      <c r="N287" s="4" t="s">
        <v>3</v>
      </c>
      <c r="O287" s="4">
        <v>2</v>
      </c>
      <c r="P287" s="4"/>
      <c r="Q287" s="4"/>
      <c r="R287" s="4"/>
      <c r="S287" s="4"/>
      <c r="T287" s="4"/>
      <c r="U287" s="4"/>
      <c r="V287" s="4"/>
      <c r="W287" s="4">
        <v>0</v>
      </c>
      <c r="X287" s="4">
        <v>1</v>
      </c>
      <c r="Y287" s="4">
        <v>0</v>
      </c>
      <c r="Z287" s="4"/>
      <c r="AA287" s="4"/>
      <c r="AB287" s="4"/>
    </row>
    <row r="288" spans="1:28">
      <c r="A288" s="4">
        <v>50</v>
      </c>
      <c r="B288" s="4">
        <v>0</v>
      </c>
      <c r="C288" s="4">
        <v>0</v>
      </c>
      <c r="D288" s="4">
        <v>1</v>
      </c>
      <c r="E288" s="4">
        <v>233</v>
      </c>
      <c r="F288" s="4">
        <f>ROUND(Source!BD263,O288)</f>
        <v>0</v>
      </c>
      <c r="G288" s="4" t="s">
        <v>130</v>
      </c>
      <c r="H288" s="4" t="s">
        <v>131</v>
      </c>
      <c r="I288" s="4"/>
      <c r="J288" s="4"/>
      <c r="K288" s="4">
        <v>233</v>
      </c>
      <c r="L288" s="4">
        <v>24</v>
      </c>
      <c r="M288" s="4">
        <v>3</v>
      </c>
      <c r="N288" s="4" t="s">
        <v>3</v>
      </c>
      <c r="O288" s="4">
        <v>2</v>
      </c>
      <c r="P288" s="4"/>
      <c r="Q288" s="4"/>
      <c r="R288" s="4"/>
      <c r="S288" s="4"/>
      <c r="T288" s="4"/>
      <c r="U288" s="4"/>
      <c r="V288" s="4"/>
      <c r="W288" s="4">
        <v>0</v>
      </c>
      <c r="X288" s="4">
        <v>1</v>
      </c>
      <c r="Y288" s="4">
        <v>0</v>
      </c>
      <c r="Z288" s="4"/>
      <c r="AA288" s="4"/>
      <c r="AB288" s="4"/>
    </row>
    <row r="289" spans="1:206">
      <c r="A289" s="4">
        <v>50</v>
      </c>
      <c r="B289" s="4">
        <v>0</v>
      </c>
      <c r="C289" s="4">
        <v>0</v>
      </c>
      <c r="D289" s="4">
        <v>1</v>
      </c>
      <c r="E289" s="4">
        <v>0</v>
      </c>
      <c r="F289" s="4">
        <f>ROUND(Source!X263,O289)</f>
        <v>0</v>
      </c>
      <c r="G289" s="4" t="s">
        <v>132</v>
      </c>
      <c r="H289" s="4" t="s">
        <v>133</v>
      </c>
      <c r="I289" s="4"/>
      <c r="J289" s="4"/>
      <c r="K289" s="4">
        <v>210</v>
      </c>
      <c r="L289" s="4">
        <v>25</v>
      </c>
      <c r="M289" s="4">
        <v>3</v>
      </c>
      <c r="N289" s="4" t="s">
        <v>3</v>
      </c>
      <c r="O289" s="4">
        <v>2</v>
      </c>
      <c r="P289" s="4"/>
      <c r="Q289" s="4"/>
      <c r="R289" s="4"/>
      <c r="S289" s="4"/>
      <c r="T289" s="4"/>
      <c r="U289" s="4"/>
      <c r="V289" s="4"/>
      <c r="W289" s="4">
        <v>0</v>
      </c>
      <c r="X289" s="4">
        <v>1</v>
      </c>
      <c r="Y289" s="4">
        <v>0</v>
      </c>
      <c r="Z289" s="4"/>
      <c r="AA289" s="4"/>
      <c r="AB289" s="4"/>
    </row>
    <row r="290" spans="1:206">
      <c r="A290" s="4">
        <v>50</v>
      </c>
      <c r="B290" s="4">
        <v>0</v>
      </c>
      <c r="C290" s="4">
        <v>0</v>
      </c>
      <c r="D290" s="4">
        <v>1</v>
      </c>
      <c r="E290" s="4">
        <v>0</v>
      </c>
      <c r="F290" s="4">
        <f>ROUND(Source!Y263,O290)</f>
        <v>0</v>
      </c>
      <c r="G290" s="4" t="s">
        <v>134</v>
      </c>
      <c r="H290" s="4" t="s">
        <v>135</v>
      </c>
      <c r="I290" s="4"/>
      <c r="J290" s="4"/>
      <c r="K290" s="4">
        <v>211</v>
      </c>
      <c r="L290" s="4">
        <v>26</v>
      </c>
      <c r="M290" s="4">
        <v>3</v>
      </c>
      <c r="N290" s="4" t="s">
        <v>3</v>
      </c>
      <c r="O290" s="4">
        <v>2</v>
      </c>
      <c r="P290" s="4"/>
      <c r="Q290" s="4"/>
      <c r="R290" s="4"/>
      <c r="S290" s="4"/>
      <c r="T290" s="4"/>
      <c r="U290" s="4"/>
      <c r="V290" s="4"/>
      <c r="W290" s="4">
        <v>0</v>
      </c>
      <c r="X290" s="4">
        <v>1</v>
      </c>
      <c r="Y290" s="4">
        <v>0</v>
      </c>
      <c r="Z290" s="4"/>
      <c r="AA290" s="4"/>
      <c r="AB290" s="4"/>
    </row>
    <row r="291" spans="1:206">
      <c r="A291" s="4">
        <v>50</v>
      </c>
      <c r="B291" s="4">
        <v>0</v>
      </c>
      <c r="C291" s="4">
        <v>0</v>
      </c>
      <c r="D291" s="4">
        <v>1</v>
      </c>
      <c r="E291" s="4">
        <v>224</v>
      </c>
      <c r="F291" s="4">
        <f>ROUND(Source!AR263,O291)</f>
        <v>293980.61</v>
      </c>
      <c r="G291" s="4" t="s">
        <v>136</v>
      </c>
      <c r="H291" s="4" t="s">
        <v>137</v>
      </c>
      <c r="I291" s="4"/>
      <c r="J291" s="4"/>
      <c r="K291" s="4">
        <v>224</v>
      </c>
      <c r="L291" s="4">
        <v>27</v>
      </c>
      <c r="M291" s="4">
        <v>3</v>
      </c>
      <c r="N291" s="4" t="s">
        <v>3</v>
      </c>
      <c r="O291" s="4">
        <v>2</v>
      </c>
      <c r="P291" s="4"/>
      <c r="Q291" s="4"/>
      <c r="R291" s="4"/>
      <c r="S291" s="4"/>
      <c r="T291" s="4"/>
      <c r="U291" s="4"/>
      <c r="V291" s="4"/>
      <c r="W291" s="4">
        <v>293980.61</v>
      </c>
      <c r="X291" s="4">
        <v>1</v>
      </c>
      <c r="Y291" s="4">
        <v>1514000.14</v>
      </c>
      <c r="Z291" s="4"/>
      <c r="AA291" s="4"/>
      <c r="AB291" s="4"/>
    </row>
    <row r="292" spans="1:206">
      <c r="A292" s="4">
        <v>50</v>
      </c>
      <c r="B292" s="4">
        <v>1</v>
      </c>
      <c r="C292" s="4">
        <v>0</v>
      </c>
      <c r="D292" s="4">
        <v>2</v>
      </c>
      <c r="E292" s="4">
        <v>201</v>
      </c>
      <c r="F292" s="4">
        <f>ROUND(ROUND(F265,0),O292)</f>
        <v>293981</v>
      </c>
      <c r="G292" s="4" t="s">
        <v>138</v>
      </c>
      <c r="H292" s="4" t="s">
        <v>139</v>
      </c>
      <c r="I292" s="4"/>
      <c r="J292" s="4"/>
      <c r="K292" s="4">
        <v>212</v>
      </c>
      <c r="L292" s="4">
        <v>28</v>
      </c>
      <c r="M292" s="4">
        <v>0</v>
      </c>
      <c r="N292" s="4" t="s">
        <v>3</v>
      </c>
      <c r="O292" s="4">
        <v>0</v>
      </c>
      <c r="P292" s="4"/>
      <c r="Q292" s="4"/>
      <c r="R292" s="4"/>
      <c r="S292" s="4"/>
      <c r="T292" s="4"/>
      <c r="U292" s="4"/>
      <c r="V292" s="4"/>
      <c r="W292" s="4">
        <v>293981</v>
      </c>
      <c r="X292" s="4">
        <v>1</v>
      </c>
      <c r="Y292" s="4">
        <v>1514000</v>
      </c>
      <c r="Z292" s="4"/>
      <c r="AA292" s="4"/>
      <c r="AB292" s="4"/>
    </row>
    <row r="293" spans="1:206">
      <c r="A293" s="4">
        <v>50</v>
      </c>
      <c r="B293" s="4">
        <v>1</v>
      </c>
      <c r="C293" s="4">
        <v>0</v>
      </c>
      <c r="D293" s="4">
        <v>2</v>
      </c>
      <c r="E293" s="4">
        <v>210</v>
      </c>
      <c r="F293" s="4">
        <f>ROUND(ROUND(F289,0),O293)</f>
        <v>0</v>
      </c>
      <c r="G293" s="4" t="s">
        <v>140</v>
      </c>
      <c r="H293" s="4" t="s">
        <v>133</v>
      </c>
      <c r="I293" s="4"/>
      <c r="J293" s="4"/>
      <c r="K293" s="4">
        <v>212</v>
      </c>
      <c r="L293" s="4">
        <v>29</v>
      </c>
      <c r="M293" s="4">
        <v>0</v>
      </c>
      <c r="N293" s="4" t="s">
        <v>3</v>
      </c>
      <c r="O293" s="4">
        <v>0</v>
      </c>
      <c r="P293" s="4"/>
      <c r="Q293" s="4"/>
      <c r="R293" s="4"/>
      <c r="S293" s="4"/>
      <c r="T293" s="4"/>
      <c r="U293" s="4"/>
      <c r="V293" s="4"/>
      <c r="W293" s="4">
        <v>0</v>
      </c>
      <c r="X293" s="4">
        <v>1</v>
      </c>
      <c r="Y293" s="4">
        <v>0</v>
      </c>
      <c r="Z293" s="4"/>
      <c r="AA293" s="4"/>
      <c r="AB293" s="4"/>
    </row>
    <row r="294" spans="1:206">
      <c r="A294" s="4">
        <v>50</v>
      </c>
      <c r="B294" s="4">
        <v>1</v>
      </c>
      <c r="C294" s="4">
        <v>0</v>
      </c>
      <c r="D294" s="4">
        <v>2</v>
      </c>
      <c r="E294" s="4">
        <v>211</v>
      </c>
      <c r="F294" s="4">
        <f>ROUND(ROUND(F290,0),O294)</f>
        <v>0</v>
      </c>
      <c r="G294" s="4" t="s">
        <v>141</v>
      </c>
      <c r="H294" s="4" t="s">
        <v>135</v>
      </c>
      <c r="I294" s="4"/>
      <c r="J294" s="4"/>
      <c r="K294" s="4">
        <v>212</v>
      </c>
      <c r="L294" s="4">
        <v>30</v>
      </c>
      <c r="M294" s="4">
        <v>0</v>
      </c>
      <c r="N294" s="4" t="s">
        <v>3</v>
      </c>
      <c r="O294" s="4">
        <v>0</v>
      </c>
      <c r="P294" s="4"/>
      <c r="Q294" s="4"/>
      <c r="R294" s="4"/>
      <c r="S294" s="4"/>
      <c r="T294" s="4"/>
      <c r="U294" s="4"/>
      <c r="V294" s="4"/>
      <c r="W294" s="4">
        <v>0</v>
      </c>
      <c r="X294" s="4">
        <v>1</v>
      </c>
      <c r="Y294" s="4">
        <v>0</v>
      </c>
      <c r="Z294" s="4"/>
      <c r="AA294" s="4"/>
      <c r="AB294" s="4"/>
    </row>
    <row r="295" spans="1:206">
      <c r="A295" s="4">
        <v>50</v>
      </c>
      <c r="B295" s="4">
        <v>1</v>
      </c>
      <c r="C295" s="4">
        <v>0</v>
      </c>
      <c r="D295" s="4">
        <v>2</v>
      </c>
      <c r="E295" s="4">
        <v>213</v>
      </c>
      <c r="F295" s="4">
        <f>ROUND(F292+F293+F294,O295)</f>
        <v>293981</v>
      </c>
      <c r="G295" s="4" t="s">
        <v>142</v>
      </c>
      <c r="H295" s="4" t="s">
        <v>143</v>
      </c>
      <c r="I295" s="4"/>
      <c r="J295" s="4"/>
      <c r="K295" s="4">
        <v>212</v>
      </c>
      <c r="L295" s="4">
        <v>31</v>
      </c>
      <c r="M295" s="4">
        <v>0</v>
      </c>
      <c r="N295" s="4" t="s">
        <v>3</v>
      </c>
      <c r="O295" s="4">
        <v>2</v>
      </c>
      <c r="P295" s="4"/>
      <c r="Q295" s="4"/>
      <c r="R295" s="4"/>
      <c r="S295" s="4"/>
      <c r="T295" s="4"/>
      <c r="U295" s="4"/>
      <c r="V295" s="4"/>
      <c r="W295" s="4">
        <v>293981</v>
      </c>
      <c r="X295" s="4">
        <v>1</v>
      </c>
      <c r="Y295" s="4">
        <v>1514000</v>
      </c>
      <c r="Z295" s="4"/>
      <c r="AA295" s="4"/>
      <c r="AB295" s="4"/>
    </row>
    <row r="296" spans="1:206">
      <c r="A296" s="4">
        <v>50</v>
      </c>
      <c r="B296" s="4">
        <v>1</v>
      </c>
      <c r="C296" s="4">
        <v>0</v>
      </c>
      <c r="D296" s="4">
        <v>2</v>
      </c>
      <c r="E296" s="4">
        <v>0</v>
      </c>
      <c r="F296" s="4">
        <v>3660</v>
      </c>
      <c r="G296" s="4" t="s">
        <v>144</v>
      </c>
      <c r="H296" s="4" t="s">
        <v>145</v>
      </c>
      <c r="I296" s="4"/>
      <c r="J296" s="4"/>
      <c r="K296" s="4">
        <v>212</v>
      </c>
      <c r="L296" s="4">
        <v>32</v>
      </c>
      <c r="M296" s="4">
        <v>1</v>
      </c>
      <c r="N296" s="4" t="s">
        <v>3</v>
      </c>
      <c r="O296" s="4">
        <v>2</v>
      </c>
      <c r="P296" s="4"/>
      <c r="Q296" s="4"/>
      <c r="R296" s="4"/>
      <c r="S296" s="4"/>
      <c r="T296" s="4"/>
      <c r="U296" s="4"/>
      <c r="V296" s="4"/>
      <c r="W296" s="4">
        <v>3660</v>
      </c>
      <c r="X296" s="4">
        <v>1</v>
      </c>
      <c r="Y296" s="4">
        <v>3660</v>
      </c>
      <c r="Z296" s="4"/>
      <c r="AA296" s="4"/>
      <c r="AB296" s="4"/>
    </row>
    <row r="297" spans="1:206">
      <c r="A297" s="4">
        <v>50</v>
      </c>
      <c r="B297" s="4">
        <v>1</v>
      </c>
      <c r="C297" s="4">
        <v>0</v>
      </c>
      <c r="D297" s="4">
        <v>2</v>
      </c>
      <c r="E297" s="4">
        <v>0</v>
      </c>
      <c r="F297" s="4">
        <v>290320.61</v>
      </c>
      <c r="G297" s="4" t="s">
        <v>146</v>
      </c>
      <c r="H297" s="4" t="s">
        <v>147</v>
      </c>
      <c r="I297" s="4"/>
      <c r="J297" s="4"/>
      <c r="K297" s="4">
        <v>212</v>
      </c>
      <c r="L297" s="4">
        <v>33</v>
      </c>
      <c r="M297" s="4">
        <v>1</v>
      </c>
      <c r="N297" s="4" t="s">
        <v>3</v>
      </c>
      <c r="O297" s="4">
        <v>2</v>
      </c>
      <c r="P297" s="4"/>
      <c r="Q297" s="4"/>
      <c r="R297" s="4"/>
      <c r="S297" s="4"/>
      <c r="T297" s="4"/>
      <c r="U297" s="4"/>
      <c r="V297" s="4"/>
      <c r="W297" s="4">
        <v>290320.61</v>
      </c>
      <c r="X297" s="4">
        <v>1</v>
      </c>
      <c r="Y297" s="4">
        <v>290320.61</v>
      </c>
      <c r="Z297" s="4"/>
      <c r="AA297" s="4"/>
      <c r="AB297" s="4"/>
    </row>
    <row r="298" spans="1:206">
      <c r="A298" s="4">
        <v>50</v>
      </c>
      <c r="B298" s="4">
        <v>0</v>
      </c>
      <c r="C298" s="4">
        <v>0</v>
      </c>
      <c r="D298" s="4">
        <v>2</v>
      </c>
      <c r="E298" s="4">
        <v>0</v>
      </c>
      <c r="F298" s="4">
        <v>0</v>
      </c>
      <c r="G298" s="4" t="s">
        <v>148</v>
      </c>
      <c r="H298" s="4" t="s">
        <v>149</v>
      </c>
      <c r="I298" s="4"/>
      <c r="J298" s="4"/>
      <c r="K298" s="4">
        <v>212</v>
      </c>
      <c r="L298" s="4">
        <v>34</v>
      </c>
      <c r="M298" s="4">
        <v>1</v>
      </c>
      <c r="N298" s="4" t="s">
        <v>3</v>
      </c>
      <c r="O298" s="4">
        <v>2</v>
      </c>
      <c r="P298" s="4"/>
      <c r="Q298" s="4"/>
      <c r="R298" s="4"/>
      <c r="S298" s="4"/>
      <c r="T298" s="4"/>
      <c r="U298" s="4"/>
      <c r="V298" s="4"/>
      <c r="W298" s="4">
        <v>0</v>
      </c>
      <c r="X298" s="4">
        <v>1</v>
      </c>
      <c r="Y298" s="4">
        <v>0</v>
      </c>
      <c r="Z298" s="4"/>
      <c r="AA298" s="4"/>
      <c r="AB298" s="4"/>
    </row>
    <row r="299" spans="1:206">
      <c r="A299" s="4">
        <v>50</v>
      </c>
      <c r="B299" s="4">
        <v>0</v>
      </c>
      <c r="C299" s="4">
        <v>0</v>
      </c>
      <c r="D299" s="4">
        <v>2</v>
      </c>
      <c r="E299" s="4">
        <v>0</v>
      </c>
      <c r="F299" s="4">
        <v>0</v>
      </c>
      <c r="G299" s="4" t="s">
        <v>150</v>
      </c>
      <c r="H299" s="4" t="s">
        <v>151</v>
      </c>
      <c r="I299" s="4"/>
      <c r="J299" s="4"/>
      <c r="K299" s="4">
        <v>212</v>
      </c>
      <c r="L299" s="4">
        <v>35</v>
      </c>
      <c r="M299" s="4">
        <v>1</v>
      </c>
      <c r="N299" s="4" t="s">
        <v>3</v>
      </c>
      <c r="O299" s="4">
        <v>2</v>
      </c>
      <c r="P299" s="4"/>
      <c r="Q299" s="4"/>
      <c r="R299" s="4"/>
      <c r="S299" s="4"/>
      <c r="T299" s="4"/>
      <c r="U299" s="4"/>
      <c r="V299" s="4"/>
      <c r="W299" s="4">
        <v>0</v>
      </c>
      <c r="X299" s="4">
        <v>1</v>
      </c>
      <c r="Y299" s="4">
        <v>0</v>
      </c>
      <c r="Z299" s="4"/>
      <c r="AA299" s="4"/>
      <c r="AB299" s="4"/>
    </row>
    <row r="300" spans="1:206">
      <c r="A300" s="4">
        <v>50</v>
      </c>
      <c r="B300" s="4">
        <f>IF(Source!F300=0,1,0)</f>
        <v>1</v>
      </c>
      <c r="C300" s="4">
        <v>0</v>
      </c>
      <c r="D300" s="4">
        <v>2</v>
      </c>
      <c r="E300" s="4">
        <v>0</v>
      </c>
      <c r="F300" s="4">
        <f>ROUND(ROUND((F295-F296-F297-F298-F299),0),O300)</f>
        <v>0</v>
      </c>
      <c r="G300" s="4" t="s">
        <v>152</v>
      </c>
      <c r="H300" s="4" t="s">
        <v>153</v>
      </c>
      <c r="I300" s="4"/>
      <c r="J300" s="4"/>
      <c r="K300" s="4">
        <v>212</v>
      </c>
      <c r="L300" s="4">
        <v>36</v>
      </c>
      <c r="M300" s="4">
        <v>2</v>
      </c>
      <c r="N300" s="4" t="s">
        <v>3</v>
      </c>
      <c r="O300" s="4">
        <v>0</v>
      </c>
      <c r="P300" s="4"/>
      <c r="Q300" s="4"/>
      <c r="R300" s="4"/>
      <c r="S300" s="4"/>
      <c r="T300" s="4"/>
      <c r="U300" s="4"/>
      <c r="V300" s="4"/>
      <c r="W300" s="4">
        <v>0</v>
      </c>
      <c r="X300" s="4">
        <v>1</v>
      </c>
      <c r="Y300" s="4">
        <v>1220019</v>
      </c>
      <c r="Z300" s="4"/>
      <c r="AA300" s="4"/>
      <c r="AB300" s="4"/>
    </row>
    <row r="302" spans="1:206">
      <c r="A302" s="1">
        <v>4</v>
      </c>
      <c r="B302" s="1">
        <v>1</v>
      </c>
      <c r="C302" s="1"/>
      <c r="D302" s="1">
        <f>ROW(A309)</f>
        <v>309</v>
      </c>
      <c r="E302" s="1"/>
      <c r="F302" s="1" t="s">
        <v>13</v>
      </c>
      <c r="G302" s="1" t="s">
        <v>383</v>
      </c>
      <c r="H302" s="1" t="s">
        <v>3</v>
      </c>
      <c r="I302" s="1">
        <v>0</v>
      </c>
      <c r="J302" s="1"/>
      <c r="K302" s="1">
        <v>0</v>
      </c>
      <c r="L302" s="1"/>
      <c r="M302" s="1" t="s">
        <v>3</v>
      </c>
      <c r="N302" s="1"/>
      <c r="O302" s="1"/>
      <c r="P302" s="1"/>
      <c r="Q302" s="1"/>
      <c r="R302" s="1"/>
      <c r="S302" s="1">
        <v>47920235</v>
      </c>
      <c r="T302" s="1"/>
      <c r="U302" s="1" t="s">
        <v>3</v>
      </c>
      <c r="V302" s="1">
        <v>0</v>
      </c>
      <c r="W302" s="1"/>
      <c r="X302" s="1"/>
      <c r="Y302" s="1"/>
      <c r="Z302" s="1"/>
      <c r="AA302" s="1"/>
      <c r="AB302" s="1" t="s">
        <v>3</v>
      </c>
      <c r="AC302" s="1" t="s">
        <v>3</v>
      </c>
      <c r="AD302" s="1" t="s">
        <v>3</v>
      </c>
      <c r="AE302" s="1" t="s">
        <v>3</v>
      </c>
      <c r="AF302" s="1" t="s">
        <v>3</v>
      </c>
      <c r="AG302" s="1" t="s">
        <v>3</v>
      </c>
      <c r="AH302" s="1"/>
      <c r="AI302" s="1"/>
      <c r="AJ302" s="1"/>
      <c r="AK302" s="1"/>
      <c r="AL302" s="1"/>
      <c r="AM302" s="1"/>
      <c r="AN302" s="1"/>
      <c r="AO302" s="1"/>
      <c r="AP302" s="1" t="s">
        <v>3</v>
      </c>
      <c r="AQ302" s="1" t="s">
        <v>3</v>
      </c>
      <c r="AR302" s="1" t="s">
        <v>3</v>
      </c>
      <c r="AS302" s="1"/>
      <c r="AT302" s="1"/>
      <c r="AU302" s="1"/>
      <c r="AV302" s="1"/>
      <c r="AW302" s="1"/>
      <c r="AX302" s="1"/>
      <c r="AY302" s="1"/>
      <c r="AZ302" s="1" t="s">
        <v>3</v>
      </c>
      <c r="BA302" s="1"/>
      <c r="BB302" s="1" t="s">
        <v>3</v>
      </c>
      <c r="BC302" s="1" t="s">
        <v>3</v>
      </c>
      <c r="BD302" s="1" t="s">
        <v>3</v>
      </c>
      <c r="BE302" s="1" t="s">
        <v>3</v>
      </c>
      <c r="BF302" s="1" t="s">
        <v>3</v>
      </c>
      <c r="BG302" s="1" t="s">
        <v>3</v>
      </c>
      <c r="BH302" s="1" t="s">
        <v>3</v>
      </c>
      <c r="BI302" s="1" t="s">
        <v>3</v>
      </c>
      <c r="BJ302" s="1" t="s">
        <v>3</v>
      </c>
      <c r="BK302" s="1" t="s">
        <v>3</v>
      </c>
      <c r="BL302" s="1" t="s">
        <v>3</v>
      </c>
      <c r="BM302" s="1" t="s">
        <v>3</v>
      </c>
      <c r="BN302" s="1" t="s">
        <v>3</v>
      </c>
      <c r="BO302" s="1" t="s">
        <v>3</v>
      </c>
      <c r="BP302" s="1" t="s">
        <v>3</v>
      </c>
      <c r="BQ302" s="1"/>
      <c r="BR302" s="1"/>
      <c r="BS302" s="1"/>
      <c r="BT302" s="1"/>
      <c r="BU302" s="1"/>
      <c r="BV302" s="1"/>
      <c r="BW302" s="1"/>
      <c r="BX302" s="1">
        <v>0</v>
      </c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>
        <v>0</v>
      </c>
    </row>
    <row r="304" spans="1:206">
      <c r="A304" s="2">
        <v>52</v>
      </c>
      <c r="B304" s="2">
        <f t="shared" ref="B304:G304" si="222">B309</f>
        <v>1</v>
      </c>
      <c r="C304" s="2">
        <f t="shared" si="222"/>
        <v>4</v>
      </c>
      <c r="D304" s="2">
        <f t="shared" si="222"/>
        <v>302</v>
      </c>
      <c r="E304" s="2">
        <f t="shared" si="222"/>
        <v>0</v>
      </c>
      <c r="F304" s="2" t="str">
        <f t="shared" si="222"/>
        <v>Новый раздел</v>
      </c>
      <c r="G304" s="2" t="str">
        <f t="shared" si="222"/>
        <v>Пусконаладочные работы</v>
      </c>
      <c r="H304" s="2"/>
      <c r="I304" s="2"/>
      <c r="J304" s="2"/>
      <c r="K304" s="2"/>
      <c r="L304" s="2"/>
      <c r="M304" s="2"/>
      <c r="N304" s="2"/>
      <c r="O304" s="2">
        <f t="shared" ref="O304:AT304" si="223">O309</f>
        <v>107.56</v>
      </c>
      <c r="P304" s="2">
        <f t="shared" si="223"/>
        <v>0</v>
      </c>
      <c r="Q304" s="2">
        <f t="shared" si="223"/>
        <v>0</v>
      </c>
      <c r="R304" s="2">
        <f t="shared" si="223"/>
        <v>0</v>
      </c>
      <c r="S304" s="2">
        <f t="shared" si="223"/>
        <v>107.56</v>
      </c>
      <c r="T304" s="2">
        <f t="shared" si="223"/>
        <v>0</v>
      </c>
      <c r="U304" s="2">
        <f t="shared" si="223"/>
        <v>8.6399999999999988</v>
      </c>
      <c r="V304" s="2">
        <f t="shared" si="223"/>
        <v>0</v>
      </c>
      <c r="W304" s="2">
        <f t="shared" si="223"/>
        <v>0</v>
      </c>
      <c r="X304" s="2">
        <f t="shared" si="223"/>
        <v>79.59</v>
      </c>
      <c r="Y304" s="2">
        <f t="shared" si="223"/>
        <v>38.72</v>
      </c>
      <c r="Z304" s="2">
        <f t="shared" si="223"/>
        <v>0</v>
      </c>
      <c r="AA304" s="2">
        <f t="shared" si="223"/>
        <v>0</v>
      </c>
      <c r="AB304" s="2">
        <f t="shared" si="223"/>
        <v>107.56</v>
      </c>
      <c r="AC304" s="2">
        <f t="shared" si="223"/>
        <v>0</v>
      </c>
      <c r="AD304" s="2">
        <f t="shared" si="223"/>
        <v>0</v>
      </c>
      <c r="AE304" s="2">
        <f t="shared" si="223"/>
        <v>0</v>
      </c>
      <c r="AF304" s="2">
        <f t="shared" si="223"/>
        <v>107.56</v>
      </c>
      <c r="AG304" s="2">
        <f t="shared" si="223"/>
        <v>0</v>
      </c>
      <c r="AH304" s="2">
        <f t="shared" si="223"/>
        <v>8.6399999999999988</v>
      </c>
      <c r="AI304" s="2">
        <f t="shared" si="223"/>
        <v>0</v>
      </c>
      <c r="AJ304" s="2">
        <f t="shared" si="223"/>
        <v>0</v>
      </c>
      <c r="AK304" s="2">
        <f t="shared" si="223"/>
        <v>79.59</v>
      </c>
      <c r="AL304" s="2">
        <f t="shared" si="223"/>
        <v>38.72</v>
      </c>
      <c r="AM304" s="2">
        <f t="shared" si="223"/>
        <v>0</v>
      </c>
      <c r="AN304" s="2">
        <f t="shared" si="223"/>
        <v>0</v>
      </c>
      <c r="AO304" s="2">
        <f t="shared" si="223"/>
        <v>0</v>
      </c>
      <c r="AP304" s="2">
        <f t="shared" si="223"/>
        <v>0</v>
      </c>
      <c r="AQ304" s="2">
        <f t="shared" si="223"/>
        <v>0</v>
      </c>
      <c r="AR304" s="2">
        <f t="shared" si="223"/>
        <v>225.87</v>
      </c>
      <c r="AS304" s="2">
        <f t="shared" si="223"/>
        <v>0</v>
      </c>
      <c r="AT304" s="2">
        <f t="shared" si="223"/>
        <v>0</v>
      </c>
      <c r="AU304" s="2">
        <f t="shared" ref="AU304:BZ304" si="224">AU309</f>
        <v>225.87</v>
      </c>
      <c r="AV304" s="2">
        <f t="shared" si="224"/>
        <v>0</v>
      </c>
      <c r="AW304" s="2">
        <f t="shared" si="224"/>
        <v>0</v>
      </c>
      <c r="AX304" s="2">
        <f t="shared" si="224"/>
        <v>0</v>
      </c>
      <c r="AY304" s="2">
        <f t="shared" si="224"/>
        <v>0</v>
      </c>
      <c r="AZ304" s="2">
        <f t="shared" si="224"/>
        <v>0</v>
      </c>
      <c r="BA304" s="2">
        <f t="shared" si="224"/>
        <v>0</v>
      </c>
      <c r="BB304" s="2">
        <f t="shared" si="224"/>
        <v>0</v>
      </c>
      <c r="BC304" s="2">
        <f t="shared" si="224"/>
        <v>0</v>
      </c>
      <c r="BD304" s="2">
        <f t="shared" si="224"/>
        <v>0</v>
      </c>
      <c r="BE304" s="2">
        <f t="shared" si="224"/>
        <v>0</v>
      </c>
      <c r="BF304" s="2">
        <f t="shared" si="224"/>
        <v>0</v>
      </c>
      <c r="BG304" s="2">
        <f t="shared" si="224"/>
        <v>0</v>
      </c>
      <c r="BH304" s="2">
        <f t="shared" si="224"/>
        <v>0</v>
      </c>
      <c r="BI304" s="2">
        <f t="shared" si="224"/>
        <v>0</v>
      </c>
      <c r="BJ304" s="2">
        <f t="shared" si="224"/>
        <v>0</v>
      </c>
      <c r="BK304" s="2">
        <f t="shared" si="224"/>
        <v>0</v>
      </c>
      <c r="BL304" s="2">
        <f t="shared" si="224"/>
        <v>0</v>
      </c>
      <c r="BM304" s="2">
        <f t="shared" si="224"/>
        <v>0</v>
      </c>
      <c r="BN304" s="2">
        <f t="shared" si="224"/>
        <v>0</v>
      </c>
      <c r="BO304" s="2">
        <f t="shared" si="224"/>
        <v>0</v>
      </c>
      <c r="BP304" s="2">
        <f t="shared" si="224"/>
        <v>0</v>
      </c>
      <c r="BQ304" s="2">
        <f t="shared" si="224"/>
        <v>0</v>
      </c>
      <c r="BR304" s="2">
        <f t="shared" si="224"/>
        <v>0</v>
      </c>
      <c r="BS304" s="2">
        <f t="shared" si="224"/>
        <v>0</v>
      </c>
      <c r="BT304" s="2">
        <f t="shared" si="224"/>
        <v>0</v>
      </c>
      <c r="BU304" s="2">
        <f t="shared" si="224"/>
        <v>0</v>
      </c>
      <c r="BV304" s="2">
        <f t="shared" si="224"/>
        <v>0</v>
      </c>
      <c r="BW304" s="2">
        <f t="shared" si="224"/>
        <v>0</v>
      </c>
      <c r="BX304" s="2">
        <f t="shared" si="224"/>
        <v>0</v>
      </c>
      <c r="BY304" s="2">
        <f t="shared" si="224"/>
        <v>0</v>
      </c>
      <c r="BZ304" s="2">
        <f t="shared" si="224"/>
        <v>0</v>
      </c>
      <c r="CA304" s="2">
        <f t="shared" ref="CA304:DF304" si="225">CA309</f>
        <v>225.87</v>
      </c>
      <c r="CB304" s="2">
        <f t="shared" si="225"/>
        <v>0</v>
      </c>
      <c r="CC304" s="2">
        <f t="shared" si="225"/>
        <v>0</v>
      </c>
      <c r="CD304" s="2">
        <f t="shared" si="225"/>
        <v>225.87</v>
      </c>
      <c r="CE304" s="2">
        <f t="shared" si="225"/>
        <v>0</v>
      </c>
      <c r="CF304" s="2">
        <f t="shared" si="225"/>
        <v>0</v>
      </c>
      <c r="CG304" s="2">
        <f t="shared" si="225"/>
        <v>0</v>
      </c>
      <c r="CH304" s="2">
        <f t="shared" si="225"/>
        <v>0</v>
      </c>
      <c r="CI304" s="2">
        <f t="shared" si="225"/>
        <v>0</v>
      </c>
      <c r="CJ304" s="2">
        <f t="shared" si="225"/>
        <v>0</v>
      </c>
      <c r="CK304" s="2">
        <f t="shared" si="225"/>
        <v>0</v>
      </c>
      <c r="CL304" s="2">
        <f t="shared" si="225"/>
        <v>0</v>
      </c>
      <c r="CM304" s="2">
        <f t="shared" si="225"/>
        <v>0</v>
      </c>
      <c r="CN304" s="2">
        <f t="shared" si="225"/>
        <v>0</v>
      </c>
      <c r="CO304" s="2">
        <f t="shared" si="225"/>
        <v>0</v>
      </c>
      <c r="CP304" s="2">
        <f t="shared" si="225"/>
        <v>0</v>
      </c>
      <c r="CQ304" s="2">
        <f t="shared" si="225"/>
        <v>0</v>
      </c>
      <c r="CR304" s="2">
        <f t="shared" si="225"/>
        <v>0</v>
      </c>
      <c r="CS304" s="2">
        <f t="shared" si="225"/>
        <v>0</v>
      </c>
      <c r="CT304" s="2">
        <f t="shared" si="225"/>
        <v>0</v>
      </c>
      <c r="CU304" s="2">
        <f t="shared" si="225"/>
        <v>0</v>
      </c>
      <c r="CV304" s="2">
        <f t="shared" si="225"/>
        <v>0</v>
      </c>
      <c r="CW304" s="2">
        <f t="shared" si="225"/>
        <v>0</v>
      </c>
      <c r="CX304" s="2">
        <f t="shared" si="225"/>
        <v>0</v>
      </c>
      <c r="CY304" s="2">
        <f t="shared" si="225"/>
        <v>0</v>
      </c>
      <c r="CZ304" s="2">
        <f t="shared" si="225"/>
        <v>0</v>
      </c>
      <c r="DA304" s="2">
        <f t="shared" si="225"/>
        <v>0</v>
      </c>
      <c r="DB304" s="2">
        <f t="shared" si="225"/>
        <v>0</v>
      </c>
      <c r="DC304" s="2">
        <f t="shared" si="225"/>
        <v>0</v>
      </c>
      <c r="DD304" s="2">
        <f t="shared" si="225"/>
        <v>0</v>
      </c>
      <c r="DE304" s="2">
        <f t="shared" si="225"/>
        <v>0</v>
      </c>
      <c r="DF304" s="2">
        <f t="shared" si="225"/>
        <v>0</v>
      </c>
      <c r="DG304" s="3">
        <f t="shared" ref="DG304:EL304" si="226">DG309</f>
        <v>0</v>
      </c>
      <c r="DH304" s="3">
        <f t="shared" si="226"/>
        <v>0</v>
      </c>
      <c r="DI304" s="3">
        <f t="shared" si="226"/>
        <v>0</v>
      </c>
      <c r="DJ304" s="3">
        <f t="shared" si="226"/>
        <v>0</v>
      </c>
      <c r="DK304" s="3">
        <f t="shared" si="226"/>
        <v>0</v>
      </c>
      <c r="DL304" s="3">
        <f t="shared" si="226"/>
        <v>0</v>
      </c>
      <c r="DM304" s="3">
        <f t="shared" si="226"/>
        <v>0</v>
      </c>
      <c r="DN304" s="3">
        <f t="shared" si="226"/>
        <v>0</v>
      </c>
      <c r="DO304" s="3">
        <f t="shared" si="226"/>
        <v>0</v>
      </c>
      <c r="DP304" s="3">
        <f t="shared" si="226"/>
        <v>0</v>
      </c>
      <c r="DQ304" s="3">
        <f t="shared" si="226"/>
        <v>0</v>
      </c>
      <c r="DR304" s="3">
        <f t="shared" si="226"/>
        <v>0</v>
      </c>
      <c r="DS304" s="3">
        <f t="shared" si="226"/>
        <v>0</v>
      </c>
      <c r="DT304" s="3">
        <f t="shared" si="226"/>
        <v>0</v>
      </c>
      <c r="DU304" s="3">
        <f t="shared" si="226"/>
        <v>0</v>
      </c>
      <c r="DV304" s="3">
        <f t="shared" si="226"/>
        <v>0</v>
      </c>
      <c r="DW304" s="3">
        <f t="shared" si="226"/>
        <v>0</v>
      </c>
      <c r="DX304" s="3">
        <f t="shared" si="226"/>
        <v>0</v>
      </c>
      <c r="DY304" s="3">
        <f t="shared" si="226"/>
        <v>0</v>
      </c>
      <c r="DZ304" s="3">
        <f t="shared" si="226"/>
        <v>0</v>
      </c>
      <c r="EA304" s="3">
        <f t="shared" si="226"/>
        <v>0</v>
      </c>
      <c r="EB304" s="3">
        <f t="shared" si="226"/>
        <v>0</v>
      </c>
      <c r="EC304" s="3">
        <f t="shared" si="226"/>
        <v>0</v>
      </c>
      <c r="ED304" s="3">
        <f t="shared" si="226"/>
        <v>0</v>
      </c>
      <c r="EE304" s="3">
        <f t="shared" si="226"/>
        <v>0</v>
      </c>
      <c r="EF304" s="3">
        <f t="shared" si="226"/>
        <v>0</v>
      </c>
      <c r="EG304" s="3">
        <f t="shared" si="226"/>
        <v>0</v>
      </c>
      <c r="EH304" s="3">
        <f t="shared" si="226"/>
        <v>0</v>
      </c>
      <c r="EI304" s="3">
        <f t="shared" si="226"/>
        <v>0</v>
      </c>
      <c r="EJ304" s="3">
        <f t="shared" si="226"/>
        <v>0</v>
      </c>
      <c r="EK304" s="3">
        <f t="shared" si="226"/>
        <v>0</v>
      </c>
      <c r="EL304" s="3">
        <f t="shared" si="226"/>
        <v>0</v>
      </c>
      <c r="EM304" s="3">
        <f t="shared" ref="EM304:FR304" si="227">EM309</f>
        <v>0</v>
      </c>
      <c r="EN304" s="3">
        <f t="shared" si="227"/>
        <v>0</v>
      </c>
      <c r="EO304" s="3">
        <f t="shared" si="227"/>
        <v>0</v>
      </c>
      <c r="EP304" s="3">
        <f t="shared" si="227"/>
        <v>0</v>
      </c>
      <c r="EQ304" s="3">
        <f t="shared" si="227"/>
        <v>0</v>
      </c>
      <c r="ER304" s="3">
        <f t="shared" si="227"/>
        <v>0</v>
      </c>
      <c r="ES304" s="3">
        <f t="shared" si="227"/>
        <v>0</v>
      </c>
      <c r="ET304" s="3">
        <f t="shared" si="227"/>
        <v>0</v>
      </c>
      <c r="EU304" s="3">
        <f t="shared" si="227"/>
        <v>0</v>
      </c>
      <c r="EV304" s="3">
        <f t="shared" si="227"/>
        <v>0</v>
      </c>
      <c r="EW304" s="3">
        <f t="shared" si="227"/>
        <v>0</v>
      </c>
      <c r="EX304" s="3">
        <f t="shared" si="227"/>
        <v>0</v>
      </c>
      <c r="EY304" s="3">
        <f t="shared" si="227"/>
        <v>0</v>
      </c>
      <c r="EZ304" s="3">
        <f t="shared" si="227"/>
        <v>0</v>
      </c>
      <c r="FA304" s="3">
        <f t="shared" si="227"/>
        <v>0</v>
      </c>
      <c r="FB304" s="3">
        <f t="shared" si="227"/>
        <v>0</v>
      </c>
      <c r="FC304" s="3">
        <f t="shared" si="227"/>
        <v>0</v>
      </c>
      <c r="FD304" s="3">
        <f t="shared" si="227"/>
        <v>0</v>
      </c>
      <c r="FE304" s="3">
        <f t="shared" si="227"/>
        <v>0</v>
      </c>
      <c r="FF304" s="3">
        <f t="shared" si="227"/>
        <v>0</v>
      </c>
      <c r="FG304" s="3">
        <f t="shared" si="227"/>
        <v>0</v>
      </c>
      <c r="FH304" s="3">
        <f t="shared" si="227"/>
        <v>0</v>
      </c>
      <c r="FI304" s="3">
        <f t="shared" si="227"/>
        <v>0</v>
      </c>
      <c r="FJ304" s="3">
        <f t="shared" si="227"/>
        <v>0</v>
      </c>
      <c r="FK304" s="3">
        <f t="shared" si="227"/>
        <v>0</v>
      </c>
      <c r="FL304" s="3">
        <f t="shared" si="227"/>
        <v>0</v>
      </c>
      <c r="FM304" s="3">
        <f t="shared" si="227"/>
        <v>0</v>
      </c>
      <c r="FN304" s="3">
        <f t="shared" si="227"/>
        <v>0</v>
      </c>
      <c r="FO304" s="3">
        <f t="shared" si="227"/>
        <v>0</v>
      </c>
      <c r="FP304" s="3">
        <f t="shared" si="227"/>
        <v>0</v>
      </c>
      <c r="FQ304" s="3">
        <f t="shared" si="227"/>
        <v>0</v>
      </c>
      <c r="FR304" s="3">
        <f t="shared" si="227"/>
        <v>0</v>
      </c>
      <c r="FS304" s="3">
        <f t="shared" ref="FS304:GX304" si="228">FS309</f>
        <v>0</v>
      </c>
      <c r="FT304" s="3">
        <f t="shared" si="228"/>
        <v>0</v>
      </c>
      <c r="FU304" s="3">
        <f t="shared" si="228"/>
        <v>0</v>
      </c>
      <c r="FV304" s="3">
        <f t="shared" si="228"/>
        <v>0</v>
      </c>
      <c r="FW304" s="3">
        <f t="shared" si="228"/>
        <v>0</v>
      </c>
      <c r="FX304" s="3">
        <f t="shared" si="228"/>
        <v>0</v>
      </c>
      <c r="FY304" s="3">
        <f t="shared" si="228"/>
        <v>0</v>
      </c>
      <c r="FZ304" s="3">
        <f t="shared" si="228"/>
        <v>0</v>
      </c>
      <c r="GA304" s="3">
        <f t="shared" si="228"/>
        <v>0</v>
      </c>
      <c r="GB304" s="3">
        <f t="shared" si="228"/>
        <v>0</v>
      </c>
      <c r="GC304" s="3">
        <f t="shared" si="228"/>
        <v>0</v>
      </c>
      <c r="GD304" s="3">
        <f t="shared" si="228"/>
        <v>0</v>
      </c>
      <c r="GE304" s="3">
        <f t="shared" si="228"/>
        <v>0</v>
      </c>
      <c r="GF304" s="3">
        <f t="shared" si="228"/>
        <v>0</v>
      </c>
      <c r="GG304" s="3">
        <f t="shared" si="228"/>
        <v>0</v>
      </c>
      <c r="GH304" s="3">
        <f t="shared" si="228"/>
        <v>0</v>
      </c>
      <c r="GI304" s="3">
        <f t="shared" si="228"/>
        <v>0</v>
      </c>
      <c r="GJ304" s="3">
        <f t="shared" si="228"/>
        <v>0</v>
      </c>
      <c r="GK304" s="3">
        <f t="shared" si="228"/>
        <v>0</v>
      </c>
      <c r="GL304" s="3">
        <f t="shared" si="228"/>
        <v>0</v>
      </c>
      <c r="GM304" s="3">
        <f t="shared" si="228"/>
        <v>0</v>
      </c>
      <c r="GN304" s="3">
        <f t="shared" si="228"/>
        <v>0</v>
      </c>
      <c r="GO304" s="3">
        <f t="shared" si="228"/>
        <v>0</v>
      </c>
      <c r="GP304" s="3">
        <f t="shared" si="228"/>
        <v>0</v>
      </c>
      <c r="GQ304" s="3">
        <f t="shared" si="228"/>
        <v>0</v>
      </c>
      <c r="GR304" s="3">
        <f t="shared" si="228"/>
        <v>0</v>
      </c>
      <c r="GS304" s="3">
        <f t="shared" si="228"/>
        <v>0</v>
      </c>
      <c r="GT304" s="3">
        <f t="shared" si="228"/>
        <v>0</v>
      </c>
      <c r="GU304" s="3">
        <f t="shared" si="228"/>
        <v>0</v>
      </c>
      <c r="GV304" s="3">
        <f t="shared" si="228"/>
        <v>0</v>
      </c>
      <c r="GW304" s="3">
        <f t="shared" si="228"/>
        <v>0</v>
      </c>
      <c r="GX304" s="3">
        <f t="shared" si="228"/>
        <v>0</v>
      </c>
    </row>
    <row r="306" spans="1:245">
      <c r="A306">
        <v>17</v>
      </c>
      <c r="B306">
        <v>1</v>
      </c>
      <c r="C306">
        <f>ROW(SmtRes!A238)</f>
        <v>238</v>
      </c>
      <c r="D306">
        <f>ROW(EtalonRes!A243)</f>
        <v>243</v>
      </c>
      <c r="E306" t="s">
        <v>384</v>
      </c>
      <c r="F306" t="s">
        <v>385</v>
      </c>
      <c r="G306" t="s">
        <v>386</v>
      </c>
      <c r="H306" t="s">
        <v>387</v>
      </c>
      <c r="I306">
        <v>8</v>
      </c>
      <c r="J306">
        <v>0</v>
      </c>
      <c r="K306">
        <v>8</v>
      </c>
      <c r="O306">
        <f>ROUND(CP306,2)</f>
        <v>98</v>
      </c>
      <c r="P306">
        <f>ROUND(CQ306*I306,2)</f>
        <v>0</v>
      </c>
      <c r="Q306">
        <f>ROUND(CR306*I306,2)</f>
        <v>0</v>
      </c>
      <c r="R306">
        <f>ROUND(CS306*I306,2)</f>
        <v>0</v>
      </c>
      <c r="S306">
        <f>ROUND(CT306*I306,2)</f>
        <v>98</v>
      </c>
      <c r="T306">
        <f>ROUND(CU306*I306,2)</f>
        <v>0</v>
      </c>
      <c r="U306">
        <f>CV306*I306</f>
        <v>7.871999999999999</v>
      </c>
      <c r="V306">
        <f>CW306*I306</f>
        <v>0</v>
      </c>
      <c r="W306">
        <f>ROUND(CX306*I306,2)</f>
        <v>0</v>
      </c>
      <c r="X306">
        <f>ROUND(CY306,2)</f>
        <v>72.52</v>
      </c>
      <c r="Y306">
        <f>ROUND(CZ306,2)</f>
        <v>35.28</v>
      </c>
      <c r="AA306">
        <v>47920234</v>
      </c>
      <c r="AB306">
        <f>ROUND((AC306+AD306+AF306),2)</f>
        <v>12.25</v>
      </c>
      <c r="AC306">
        <f>ROUND((ES306),2)</f>
        <v>0</v>
      </c>
      <c r="AD306">
        <f>ROUND((((ET306)-(EU306))+AE306),2)</f>
        <v>0</v>
      </c>
      <c r="AE306">
        <f>ROUND((EU306),2)</f>
        <v>0</v>
      </c>
      <c r="AF306">
        <f>ROUND(((EV306*ROUND(1.2,7))),2)</f>
        <v>12.25</v>
      </c>
      <c r="AG306">
        <f>ROUND((AP306),2)</f>
        <v>0</v>
      </c>
      <c r="AH306">
        <f>((EW306*ROUND(1.2,7)))</f>
        <v>0.98399999999999987</v>
      </c>
      <c r="AI306">
        <f>(EX306)</f>
        <v>0</v>
      </c>
      <c r="AJ306">
        <f>(AS306)</f>
        <v>0</v>
      </c>
      <c r="AK306">
        <v>10.210000000000001</v>
      </c>
      <c r="AL306">
        <v>0</v>
      </c>
      <c r="AM306">
        <v>0</v>
      </c>
      <c r="AN306">
        <v>0</v>
      </c>
      <c r="AO306">
        <v>10.210000000000001</v>
      </c>
      <c r="AP306">
        <v>0</v>
      </c>
      <c r="AQ306">
        <v>0.82</v>
      </c>
      <c r="AR306">
        <v>0</v>
      </c>
      <c r="AS306">
        <v>0</v>
      </c>
      <c r="AT306">
        <v>74</v>
      </c>
      <c r="AU306">
        <v>36</v>
      </c>
      <c r="AV306">
        <v>1</v>
      </c>
      <c r="AW306">
        <v>1</v>
      </c>
      <c r="AZ306">
        <v>1</v>
      </c>
      <c r="BA306">
        <v>28.93</v>
      </c>
      <c r="BB306">
        <v>1</v>
      </c>
      <c r="BC306">
        <v>1</v>
      </c>
      <c r="BD306" t="s">
        <v>3</v>
      </c>
      <c r="BE306" t="s">
        <v>3</v>
      </c>
      <c r="BF306" t="s">
        <v>3</v>
      </c>
      <c r="BG306" t="s">
        <v>3</v>
      </c>
      <c r="BH306">
        <v>0</v>
      </c>
      <c r="BI306">
        <v>4</v>
      </c>
      <c r="BJ306" t="s">
        <v>388</v>
      </c>
      <c r="BM306">
        <v>200001</v>
      </c>
      <c r="BN306">
        <v>0</v>
      </c>
      <c r="BO306" t="s">
        <v>3</v>
      </c>
      <c r="BP306">
        <v>0</v>
      </c>
      <c r="BQ306">
        <v>4</v>
      </c>
      <c r="BR306">
        <v>0</v>
      </c>
      <c r="BS306">
        <v>1</v>
      </c>
      <c r="BT306">
        <v>1</v>
      </c>
      <c r="BU306">
        <v>1</v>
      </c>
      <c r="BV306">
        <v>1</v>
      </c>
      <c r="BW306">
        <v>1</v>
      </c>
      <c r="BX306">
        <v>1</v>
      </c>
      <c r="BY306" t="s">
        <v>3</v>
      </c>
      <c r="BZ306">
        <v>74</v>
      </c>
      <c r="CA306">
        <v>36</v>
      </c>
      <c r="CB306" t="s">
        <v>3</v>
      </c>
      <c r="CE306">
        <v>0</v>
      </c>
      <c r="CF306">
        <v>0</v>
      </c>
      <c r="CG306">
        <v>0</v>
      </c>
      <c r="CM306">
        <v>0</v>
      </c>
      <c r="CN306" t="s">
        <v>3</v>
      </c>
      <c r="CO306">
        <v>0</v>
      </c>
      <c r="CP306">
        <f>(P306+Q306+S306)</f>
        <v>98</v>
      </c>
      <c r="CQ306">
        <f>AC306*BC306</f>
        <v>0</v>
      </c>
      <c r="CR306">
        <f>AD306*BB306</f>
        <v>0</v>
      </c>
      <c r="CS306">
        <f t="shared" ref="CS306:CX307" si="229">AE306</f>
        <v>0</v>
      </c>
      <c r="CT306">
        <f t="shared" si="229"/>
        <v>12.25</v>
      </c>
      <c r="CU306">
        <f t="shared" si="229"/>
        <v>0</v>
      </c>
      <c r="CV306">
        <f t="shared" si="229"/>
        <v>0.98399999999999987</v>
      </c>
      <c r="CW306">
        <f t="shared" si="229"/>
        <v>0</v>
      </c>
      <c r="CX306">
        <f t="shared" si="229"/>
        <v>0</v>
      </c>
      <c r="CY306">
        <f>(((S306+R306)*AT306)/100)</f>
        <v>72.52</v>
      </c>
      <c r="CZ306">
        <f>(((S306+R306)*AU306)/100)</f>
        <v>35.28</v>
      </c>
      <c r="DC306" t="s">
        <v>3</v>
      </c>
      <c r="DD306" t="s">
        <v>3</v>
      </c>
      <c r="DE306" t="s">
        <v>3</v>
      </c>
      <c r="DF306" t="s">
        <v>3</v>
      </c>
      <c r="DG306" t="s">
        <v>389</v>
      </c>
      <c r="DH306" t="s">
        <v>3</v>
      </c>
      <c r="DI306" t="s">
        <v>389</v>
      </c>
      <c r="DJ306" t="s">
        <v>3</v>
      </c>
      <c r="DK306" t="s">
        <v>3</v>
      </c>
      <c r="DL306" t="s">
        <v>3</v>
      </c>
      <c r="DM306" t="s">
        <v>3</v>
      </c>
      <c r="DN306">
        <v>0</v>
      </c>
      <c r="DO306">
        <v>0</v>
      </c>
      <c r="DP306">
        <v>1</v>
      </c>
      <c r="DQ306">
        <v>1</v>
      </c>
      <c r="DU306">
        <v>1013</v>
      </c>
      <c r="DV306" t="s">
        <v>387</v>
      </c>
      <c r="DW306" t="s">
        <v>387</v>
      </c>
      <c r="DX306">
        <v>1</v>
      </c>
      <c r="DZ306" t="s">
        <v>3</v>
      </c>
      <c r="EA306" t="s">
        <v>3</v>
      </c>
      <c r="EB306" t="s">
        <v>3</v>
      </c>
      <c r="EC306" t="s">
        <v>3</v>
      </c>
      <c r="EE306">
        <v>41328213</v>
      </c>
      <c r="EF306">
        <v>4</v>
      </c>
      <c r="EG306" t="s">
        <v>383</v>
      </c>
      <c r="EH306">
        <v>83</v>
      </c>
      <c r="EI306" t="s">
        <v>383</v>
      </c>
      <c r="EJ306">
        <v>4</v>
      </c>
      <c r="EK306">
        <v>200001</v>
      </c>
      <c r="EL306" t="s">
        <v>390</v>
      </c>
      <c r="EM306" t="s">
        <v>391</v>
      </c>
      <c r="EO306" t="s">
        <v>3</v>
      </c>
      <c r="EQ306">
        <v>131072</v>
      </c>
      <c r="ER306">
        <v>10.210000000000001</v>
      </c>
      <c r="ES306">
        <v>0</v>
      </c>
      <c r="ET306">
        <v>0</v>
      </c>
      <c r="EU306">
        <v>0</v>
      </c>
      <c r="EV306">
        <v>10.210000000000001</v>
      </c>
      <c r="EW306">
        <v>0.82</v>
      </c>
      <c r="EX306">
        <v>0</v>
      </c>
      <c r="EY306">
        <v>0</v>
      </c>
      <c r="FQ306">
        <v>0</v>
      </c>
      <c r="FR306">
        <f>ROUND(IF(AND(BH306=3,BI306=3),P306,0),2)</f>
        <v>0</v>
      </c>
      <c r="FS306">
        <v>0</v>
      </c>
      <c r="FX306">
        <v>74</v>
      </c>
      <c r="FY306">
        <v>36</v>
      </c>
      <c r="GA306" t="s">
        <v>3</v>
      </c>
      <c r="GD306">
        <v>1</v>
      </c>
      <c r="GF306">
        <v>-1102363500</v>
      </c>
      <c r="GG306">
        <v>2</v>
      </c>
      <c r="GH306">
        <v>1</v>
      </c>
      <c r="GI306">
        <v>4</v>
      </c>
      <c r="GJ306">
        <v>0</v>
      </c>
      <c r="GK306">
        <v>0</v>
      </c>
      <c r="GL306">
        <f>ROUND(IF(AND(BH306=3,BI306=3,FS306&lt;&gt;0),P306,0),2)</f>
        <v>0</v>
      </c>
      <c r="GM306">
        <f>ROUND(O306+X306+Y306,2)+GX306</f>
        <v>205.8</v>
      </c>
      <c r="GN306">
        <f>IF(OR(BI306=0,BI306=1),ROUND(O306+X306+Y306,2),0)</f>
        <v>0</v>
      </c>
      <c r="GO306">
        <f>IF(BI306=2,ROUND(O306+X306+Y306,2),0)</f>
        <v>0</v>
      </c>
      <c r="GP306">
        <f>IF(BI306=4,ROUND(O306+X306+Y306,2)+GX306,0)</f>
        <v>205.8</v>
      </c>
      <c r="GR306">
        <v>0</v>
      </c>
      <c r="GS306">
        <v>3</v>
      </c>
      <c r="GT306">
        <v>0</v>
      </c>
      <c r="GU306" t="s">
        <v>3</v>
      </c>
      <c r="GV306">
        <f>ROUND((GT306),2)</f>
        <v>0</v>
      </c>
      <c r="GW306">
        <v>1</v>
      </c>
      <c r="GX306">
        <f>ROUND(HC306*I306,2)</f>
        <v>0</v>
      </c>
      <c r="HA306">
        <v>0</v>
      </c>
      <c r="HB306">
        <v>0</v>
      </c>
      <c r="HC306">
        <f>GV306*GW306</f>
        <v>0</v>
      </c>
      <c r="HE306" t="s">
        <v>3</v>
      </c>
      <c r="HF306" t="s">
        <v>3</v>
      </c>
      <c r="HI306">
        <f>ROUND(R306*BS306,2)</f>
        <v>0</v>
      </c>
      <c r="HJ306">
        <f>ROUND(S306*BA306,2)</f>
        <v>2835.14</v>
      </c>
      <c r="HK306">
        <f>ROUND((((HJ306+HI306)*AT306)/100),2)</f>
        <v>2098</v>
      </c>
      <c r="HL306">
        <f>ROUND((((HJ306+HI306)*AU306)/100),2)</f>
        <v>1020.65</v>
      </c>
      <c r="HM306" t="s">
        <v>3</v>
      </c>
      <c r="HN306" t="s">
        <v>392</v>
      </c>
      <c r="HO306" t="s">
        <v>393</v>
      </c>
      <c r="HP306" t="s">
        <v>383</v>
      </c>
      <c r="HQ306" t="s">
        <v>383</v>
      </c>
      <c r="IK306">
        <v>0</v>
      </c>
    </row>
    <row r="307" spans="1:245">
      <c r="A307">
        <v>17</v>
      </c>
      <c r="B307">
        <v>1</v>
      </c>
      <c r="C307">
        <f>ROW(SmtRes!A241)</f>
        <v>241</v>
      </c>
      <c r="D307">
        <f>ROW(EtalonRes!A246)</f>
        <v>246</v>
      </c>
      <c r="E307" t="s">
        <v>394</v>
      </c>
      <c r="F307" t="s">
        <v>395</v>
      </c>
      <c r="G307" t="s">
        <v>396</v>
      </c>
      <c r="H307" t="s">
        <v>397</v>
      </c>
      <c r="I307">
        <v>2</v>
      </c>
      <c r="J307">
        <v>0</v>
      </c>
      <c r="K307">
        <v>2</v>
      </c>
      <c r="O307">
        <f>ROUND(CP307,2)</f>
        <v>9.56</v>
      </c>
      <c r="P307">
        <f>ROUND(CQ307*I307,2)</f>
        <v>0</v>
      </c>
      <c r="Q307">
        <f>ROUND(CR307*I307,2)</f>
        <v>0</v>
      </c>
      <c r="R307">
        <f>ROUND(CS307*I307,2)</f>
        <v>0</v>
      </c>
      <c r="S307">
        <f>ROUND(CT307*I307,2)</f>
        <v>9.56</v>
      </c>
      <c r="T307">
        <f>ROUND(CU307*I307,2)</f>
        <v>0</v>
      </c>
      <c r="U307">
        <f>CV307*I307</f>
        <v>0.76800000000000002</v>
      </c>
      <c r="V307">
        <f>CW307*I307</f>
        <v>0</v>
      </c>
      <c r="W307">
        <f>ROUND(CX307*I307,2)</f>
        <v>0</v>
      </c>
      <c r="X307">
        <f>ROUND(CY307,2)</f>
        <v>7.07</v>
      </c>
      <c r="Y307">
        <f>ROUND(CZ307,2)</f>
        <v>3.44</v>
      </c>
      <c r="AA307">
        <v>47920234</v>
      </c>
      <c r="AB307">
        <f>ROUND((AC307+AD307+AF307),2)</f>
        <v>4.78</v>
      </c>
      <c r="AC307">
        <f>ROUND((ES307),2)</f>
        <v>0</v>
      </c>
      <c r="AD307">
        <f>ROUND((((ET307)-(EU307))+AE307),2)</f>
        <v>0</v>
      </c>
      <c r="AE307">
        <f>ROUND((EU307),2)</f>
        <v>0</v>
      </c>
      <c r="AF307">
        <f>ROUND(((EV307*ROUND(1.2,7))),2)</f>
        <v>4.78</v>
      </c>
      <c r="AG307">
        <f>ROUND((AP307),2)</f>
        <v>0</v>
      </c>
      <c r="AH307">
        <f>((EW307*ROUND(1.2,7)))</f>
        <v>0.38400000000000001</v>
      </c>
      <c r="AI307">
        <f>(EX307)</f>
        <v>0</v>
      </c>
      <c r="AJ307">
        <f>(AS307)</f>
        <v>0</v>
      </c>
      <c r="AK307">
        <v>3.98</v>
      </c>
      <c r="AL307">
        <v>0</v>
      </c>
      <c r="AM307">
        <v>0</v>
      </c>
      <c r="AN307">
        <v>0</v>
      </c>
      <c r="AO307">
        <v>3.98</v>
      </c>
      <c r="AP307">
        <v>0</v>
      </c>
      <c r="AQ307">
        <v>0.32</v>
      </c>
      <c r="AR307">
        <v>0</v>
      </c>
      <c r="AS307">
        <v>0</v>
      </c>
      <c r="AT307">
        <v>74</v>
      </c>
      <c r="AU307">
        <v>36</v>
      </c>
      <c r="AV307">
        <v>1</v>
      </c>
      <c r="AW307">
        <v>1</v>
      </c>
      <c r="AZ307">
        <v>1</v>
      </c>
      <c r="BA307">
        <v>28.93</v>
      </c>
      <c r="BB307">
        <v>1</v>
      </c>
      <c r="BC307">
        <v>1</v>
      </c>
      <c r="BD307" t="s">
        <v>3</v>
      </c>
      <c r="BE307" t="s">
        <v>3</v>
      </c>
      <c r="BF307" t="s">
        <v>3</v>
      </c>
      <c r="BG307" t="s">
        <v>3</v>
      </c>
      <c r="BH307">
        <v>0</v>
      </c>
      <c r="BI307">
        <v>4</v>
      </c>
      <c r="BJ307" t="s">
        <v>398</v>
      </c>
      <c r="BM307">
        <v>200001</v>
      </c>
      <c r="BN307">
        <v>0</v>
      </c>
      <c r="BO307" t="s">
        <v>3</v>
      </c>
      <c r="BP307">
        <v>0</v>
      </c>
      <c r="BQ307">
        <v>4</v>
      </c>
      <c r="BR307">
        <v>0</v>
      </c>
      <c r="BS307">
        <v>1</v>
      </c>
      <c r="BT307">
        <v>1</v>
      </c>
      <c r="BU307">
        <v>1</v>
      </c>
      <c r="BV307">
        <v>1</v>
      </c>
      <c r="BW307">
        <v>1</v>
      </c>
      <c r="BX307">
        <v>1</v>
      </c>
      <c r="BY307" t="s">
        <v>3</v>
      </c>
      <c r="BZ307">
        <v>74</v>
      </c>
      <c r="CA307">
        <v>36</v>
      </c>
      <c r="CB307" t="s">
        <v>3</v>
      </c>
      <c r="CE307">
        <v>0</v>
      </c>
      <c r="CF307">
        <v>0</v>
      </c>
      <c r="CG307">
        <v>0</v>
      </c>
      <c r="CM307">
        <v>0</v>
      </c>
      <c r="CN307" t="s">
        <v>3</v>
      </c>
      <c r="CO307">
        <v>0</v>
      </c>
      <c r="CP307">
        <f>(P307+Q307+S307)</f>
        <v>9.56</v>
      </c>
      <c r="CQ307">
        <f>AC307*BC307</f>
        <v>0</v>
      </c>
      <c r="CR307">
        <f>AD307*BB307</f>
        <v>0</v>
      </c>
      <c r="CS307">
        <f t="shared" si="229"/>
        <v>0</v>
      </c>
      <c r="CT307">
        <f t="shared" si="229"/>
        <v>4.78</v>
      </c>
      <c r="CU307">
        <f t="shared" si="229"/>
        <v>0</v>
      </c>
      <c r="CV307">
        <f t="shared" si="229"/>
        <v>0.38400000000000001</v>
      </c>
      <c r="CW307">
        <f t="shared" si="229"/>
        <v>0</v>
      </c>
      <c r="CX307">
        <f t="shared" si="229"/>
        <v>0</v>
      </c>
      <c r="CY307">
        <f>(((S307+R307)*AT307)/100)</f>
        <v>7.0744000000000007</v>
      </c>
      <c r="CZ307">
        <f>(((S307+R307)*AU307)/100)</f>
        <v>3.4416000000000002</v>
      </c>
      <c r="DC307" t="s">
        <v>3</v>
      </c>
      <c r="DD307" t="s">
        <v>3</v>
      </c>
      <c r="DE307" t="s">
        <v>3</v>
      </c>
      <c r="DF307" t="s">
        <v>3</v>
      </c>
      <c r="DG307" t="s">
        <v>389</v>
      </c>
      <c r="DH307" t="s">
        <v>3</v>
      </c>
      <c r="DI307" t="s">
        <v>389</v>
      </c>
      <c r="DJ307" t="s">
        <v>3</v>
      </c>
      <c r="DK307" t="s">
        <v>3</v>
      </c>
      <c r="DL307" t="s">
        <v>3</v>
      </c>
      <c r="DM307" t="s">
        <v>3</v>
      </c>
      <c r="DN307">
        <v>0</v>
      </c>
      <c r="DO307">
        <v>0</v>
      </c>
      <c r="DP307">
        <v>1</v>
      </c>
      <c r="DQ307">
        <v>1</v>
      </c>
      <c r="DU307">
        <v>1013</v>
      </c>
      <c r="DV307" t="s">
        <v>397</v>
      </c>
      <c r="DW307" t="s">
        <v>397</v>
      </c>
      <c r="DX307">
        <v>1</v>
      </c>
      <c r="DZ307" t="s">
        <v>3</v>
      </c>
      <c r="EA307" t="s">
        <v>3</v>
      </c>
      <c r="EB307" t="s">
        <v>3</v>
      </c>
      <c r="EC307" t="s">
        <v>3</v>
      </c>
      <c r="EE307">
        <v>41328213</v>
      </c>
      <c r="EF307">
        <v>4</v>
      </c>
      <c r="EG307" t="s">
        <v>383</v>
      </c>
      <c r="EH307">
        <v>83</v>
      </c>
      <c r="EI307" t="s">
        <v>383</v>
      </c>
      <c r="EJ307">
        <v>4</v>
      </c>
      <c r="EK307">
        <v>200001</v>
      </c>
      <c r="EL307" t="s">
        <v>390</v>
      </c>
      <c r="EM307" t="s">
        <v>391</v>
      </c>
      <c r="EO307" t="s">
        <v>3</v>
      </c>
      <c r="EQ307">
        <v>131072</v>
      </c>
      <c r="ER307">
        <v>3.98</v>
      </c>
      <c r="ES307">
        <v>0</v>
      </c>
      <c r="ET307">
        <v>0</v>
      </c>
      <c r="EU307">
        <v>0</v>
      </c>
      <c r="EV307">
        <v>3.98</v>
      </c>
      <c r="EW307">
        <v>0.32</v>
      </c>
      <c r="EX307">
        <v>0</v>
      </c>
      <c r="EY307">
        <v>0</v>
      </c>
      <c r="FQ307">
        <v>0</v>
      </c>
      <c r="FR307">
        <f>ROUND(IF(AND(BH307=3,BI307=3),P307,0),2)</f>
        <v>0</v>
      </c>
      <c r="FS307">
        <v>0</v>
      </c>
      <c r="FX307">
        <v>74</v>
      </c>
      <c r="FY307">
        <v>36</v>
      </c>
      <c r="GA307" t="s">
        <v>3</v>
      </c>
      <c r="GD307">
        <v>1</v>
      </c>
      <c r="GF307">
        <v>-1613224548</v>
      </c>
      <c r="GG307">
        <v>2</v>
      </c>
      <c r="GH307">
        <v>1</v>
      </c>
      <c r="GI307">
        <v>4</v>
      </c>
      <c r="GJ307">
        <v>0</v>
      </c>
      <c r="GK307">
        <v>0</v>
      </c>
      <c r="GL307">
        <f>ROUND(IF(AND(BH307=3,BI307=3,FS307&lt;&gt;0),P307,0),2)</f>
        <v>0</v>
      </c>
      <c r="GM307">
        <f>ROUND(O307+X307+Y307,2)+GX307</f>
        <v>20.07</v>
      </c>
      <c r="GN307">
        <f>IF(OR(BI307=0,BI307=1),ROUND(O307+X307+Y307,2),0)</f>
        <v>0</v>
      </c>
      <c r="GO307">
        <f>IF(BI307=2,ROUND(O307+X307+Y307,2),0)</f>
        <v>0</v>
      </c>
      <c r="GP307">
        <f>IF(BI307=4,ROUND(O307+X307+Y307,2)+GX307,0)</f>
        <v>20.07</v>
      </c>
      <c r="GR307">
        <v>0</v>
      </c>
      <c r="GS307">
        <v>3</v>
      </c>
      <c r="GT307">
        <v>0</v>
      </c>
      <c r="GU307" t="s">
        <v>3</v>
      </c>
      <c r="GV307">
        <f>ROUND((GT307),2)</f>
        <v>0</v>
      </c>
      <c r="GW307">
        <v>1</v>
      </c>
      <c r="GX307">
        <f>ROUND(HC307*I307,2)</f>
        <v>0</v>
      </c>
      <c r="HA307">
        <v>0</v>
      </c>
      <c r="HB307">
        <v>0</v>
      </c>
      <c r="HC307">
        <f>GV307*GW307</f>
        <v>0</v>
      </c>
      <c r="HE307" t="s">
        <v>3</v>
      </c>
      <c r="HF307" t="s">
        <v>3</v>
      </c>
      <c r="HI307">
        <f>ROUND(R307*BS307,2)</f>
        <v>0</v>
      </c>
      <c r="HJ307">
        <f>ROUND(S307*BA307,2)</f>
        <v>276.57</v>
      </c>
      <c r="HK307">
        <f>ROUND((((HJ307+HI307)*AT307)/100),2)</f>
        <v>204.66</v>
      </c>
      <c r="HL307">
        <f>ROUND((((HJ307+HI307)*AU307)/100),2)</f>
        <v>99.57</v>
      </c>
      <c r="HM307" t="s">
        <v>3</v>
      </c>
      <c r="HN307" t="s">
        <v>392</v>
      </c>
      <c r="HO307" t="s">
        <v>393</v>
      </c>
      <c r="HP307" t="s">
        <v>383</v>
      </c>
      <c r="HQ307" t="s">
        <v>383</v>
      </c>
      <c r="IK307">
        <v>0</v>
      </c>
    </row>
    <row r="309" spans="1:245">
      <c r="A309" s="2">
        <v>51</v>
      </c>
      <c r="B309" s="2">
        <f>B302</f>
        <v>1</v>
      </c>
      <c r="C309" s="2">
        <f>A302</f>
        <v>4</v>
      </c>
      <c r="D309" s="2">
        <f>ROW(A302)</f>
        <v>302</v>
      </c>
      <c r="E309" s="2"/>
      <c r="F309" s="2" t="str">
        <f>IF(F302&lt;&gt;"",F302,"")</f>
        <v>Новый раздел</v>
      </c>
      <c r="G309" s="2" t="str">
        <f>IF(G302&lt;&gt;"",G302,"")</f>
        <v>Пусконаладочные работы</v>
      </c>
      <c r="H309" s="2">
        <v>0</v>
      </c>
      <c r="I309" s="2"/>
      <c r="J309" s="2"/>
      <c r="K309" s="2"/>
      <c r="L309" s="2"/>
      <c r="M309" s="2"/>
      <c r="N309" s="2"/>
      <c r="O309" s="2">
        <f t="shared" ref="O309:T309" si="230">ROUND(AB309,2)</f>
        <v>107.56</v>
      </c>
      <c r="P309" s="2">
        <f t="shared" si="230"/>
        <v>0</v>
      </c>
      <c r="Q309" s="2">
        <f t="shared" si="230"/>
        <v>0</v>
      </c>
      <c r="R309" s="2">
        <f t="shared" si="230"/>
        <v>0</v>
      </c>
      <c r="S309" s="2">
        <f t="shared" si="230"/>
        <v>107.56</v>
      </c>
      <c r="T309" s="2">
        <f t="shared" si="230"/>
        <v>0</v>
      </c>
      <c r="U309" s="2">
        <f>AH309</f>
        <v>8.6399999999999988</v>
      </c>
      <c r="V309" s="2">
        <f>AI309</f>
        <v>0</v>
      </c>
      <c r="W309" s="2">
        <f>ROUND(AJ309,2)</f>
        <v>0</v>
      </c>
      <c r="X309" s="2">
        <f>ROUND(AK309,2)</f>
        <v>79.59</v>
      </c>
      <c r="Y309" s="2">
        <f>ROUND(AL309,2)</f>
        <v>38.72</v>
      </c>
      <c r="Z309" s="2"/>
      <c r="AA309" s="2"/>
      <c r="AB309" s="2">
        <f>ROUND(SUMIF(AA306:AA307,"=47920234",O306:O307),2)</f>
        <v>107.56</v>
      </c>
      <c r="AC309" s="2">
        <f>ROUND(SUMIF(AA306:AA307,"=47920234",P306:P307),2)</f>
        <v>0</v>
      </c>
      <c r="AD309" s="2">
        <f>ROUND(SUMIF(AA306:AA307,"=47920234",Q306:Q307),2)</f>
        <v>0</v>
      </c>
      <c r="AE309" s="2">
        <f>ROUND(SUMIF(AA306:AA307,"=47920234",R306:R307),2)</f>
        <v>0</v>
      </c>
      <c r="AF309" s="2">
        <f>ROUND(SUMIF(AA306:AA307,"=47920234",S306:S307),2)</f>
        <v>107.56</v>
      </c>
      <c r="AG309" s="2">
        <f>ROUND(SUMIF(AA306:AA307,"=47920234",T306:T307),2)</f>
        <v>0</v>
      </c>
      <c r="AH309" s="2">
        <f>SUMIF(AA306:AA307,"=47920234",U306:U307)</f>
        <v>8.6399999999999988</v>
      </c>
      <c r="AI309" s="2">
        <f>SUMIF(AA306:AA307,"=47920234",V306:V307)</f>
        <v>0</v>
      </c>
      <c r="AJ309" s="2">
        <f>ROUND(SUMIF(AA306:AA307,"=47920234",W306:W307),2)</f>
        <v>0</v>
      </c>
      <c r="AK309" s="2">
        <f>ROUND(SUMIF(AA306:AA307,"=47920234",X306:X307),2)</f>
        <v>79.59</v>
      </c>
      <c r="AL309" s="2">
        <f>ROUND(SUMIF(AA306:AA307,"=47920234",Y306:Y307),2)</f>
        <v>38.72</v>
      </c>
      <c r="AM309" s="2"/>
      <c r="AN309" s="2"/>
      <c r="AO309" s="2">
        <f t="shared" ref="AO309:BD309" si="231">ROUND(BX309,2)</f>
        <v>0</v>
      </c>
      <c r="AP309" s="2">
        <f t="shared" si="231"/>
        <v>0</v>
      </c>
      <c r="AQ309" s="2">
        <f t="shared" si="231"/>
        <v>0</v>
      </c>
      <c r="AR309" s="2">
        <f t="shared" si="231"/>
        <v>225.87</v>
      </c>
      <c r="AS309" s="2">
        <f t="shared" si="231"/>
        <v>0</v>
      </c>
      <c r="AT309" s="2">
        <f t="shared" si="231"/>
        <v>0</v>
      </c>
      <c r="AU309" s="2">
        <f t="shared" si="231"/>
        <v>225.87</v>
      </c>
      <c r="AV309" s="2">
        <f t="shared" si="231"/>
        <v>0</v>
      </c>
      <c r="AW309" s="2">
        <f t="shared" si="231"/>
        <v>0</v>
      </c>
      <c r="AX309" s="2">
        <f t="shared" si="231"/>
        <v>0</v>
      </c>
      <c r="AY309" s="2">
        <f t="shared" si="231"/>
        <v>0</v>
      </c>
      <c r="AZ309" s="2">
        <f t="shared" si="231"/>
        <v>0</v>
      </c>
      <c r="BA309" s="2">
        <f t="shared" si="231"/>
        <v>0</v>
      </c>
      <c r="BB309" s="2">
        <f t="shared" si="231"/>
        <v>0</v>
      </c>
      <c r="BC309" s="2">
        <f t="shared" si="231"/>
        <v>0</v>
      </c>
      <c r="BD309" s="2">
        <f t="shared" si="231"/>
        <v>0</v>
      </c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>
        <f>ROUND(SUMIF(AA306:AA307,"=47920234",FQ306:FQ307),2)</f>
        <v>0</v>
      </c>
      <c r="BY309" s="2">
        <f>ROUND(SUMIF(AA306:AA307,"=47920234",FR306:FR307),2)</f>
        <v>0</v>
      </c>
      <c r="BZ309" s="2">
        <f>ROUND(SUMIF(AA306:AA307,"=47920234",GL306:GL307),2)</f>
        <v>0</v>
      </c>
      <c r="CA309" s="2">
        <f>ROUND(SUMIF(AA306:AA307,"=47920234",GM306:GM307),2)</f>
        <v>225.87</v>
      </c>
      <c r="CB309" s="2">
        <f>ROUND(SUMIF(AA306:AA307,"=47920234",GN306:GN307),2)</f>
        <v>0</v>
      </c>
      <c r="CC309" s="2">
        <f>ROUND(SUMIF(AA306:AA307,"=47920234",GO306:GO307),2)</f>
        <v>0</v>
      </c>
      <c r="CD309" s="2">
        <f>ROUND(SUMIF(AA306:AA307,"=47920234",GP306:GP307),2)</f>
        <v>225.87</v>
      </c>
      <c r="CE309" s="2">
        <f>AC309-BX309</f>
        <v>0</v>
      </c>
      <c r="CF309" s="2">
        <f>AC309-BY309</f>
        <v>0</v>
      </c>
      <c r="CG309" s="2">
        <f>BX309-BZ309</f>
        <v>0</v>
      </c>
      <c r="CH309" s="2">
        <f>AC309-BX309-BY309+BZ309</f>
        <v>0</v>
      </c>
      <c r="CI309" s="2">
        <f>BY309-BZ309</f>
        <v>0</v>
      </c>
      <c r="CJ309" s="2">
        <f>ROUND(SUMIF(AA306:AA307,"=47920234",GX306:GX307),2)</f>
        <v>0</v>
      </c>
      <c r="CK309" s="2">
        <f>ROUND(SUMIF(AA306:AA307,"=47920234",GY306:GY307),2)</f>
        <v>0</v>
      </c>
      <c r="CL309" s="2">
        <f>ROUND(SUMIF(AA306:AA307,"=47920234",GZ306:GZ307),2)</f>
        <v>0</v>
      </c>
      <c r="CM309" s="2">
        <f>ROUND(SUMIF(AA306:AA307,"=47920234",HD306:HD307),2)</f>
        <v>0</v>
      </c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>
        <v>0</v>
      </c>
    </row>
    <row r="311" spans="1:245">
      <c r="A311" s="4">
        <v>50</v>
      </c>
      <c r="B311" s="4">
        <v>0</v>
      </c>
      <c r="C311" s="4">
        <v>0</v>
      </c>
      <c r="D311" s="4">
        <v>1</v>
      </c>
      <c r="E311" s="4">
        <v>0</v>
      </c>
      <c r="F311" s="4">
        <f>ROUND(Source!O309,O311)</f>
        <v>107.56</v>
      </c>
      <c r="G311" s="4" t="s">
        <v>84</v>
      </c>
      <c r="H311" s="4" t="s">
        <v>85</v>
      </c>
      <c r="I311" s="4"/>
      <c r="J311" s="4"/>
      <c r="K311" s="4">
        <v>201</v>
      </c>
      <c r="L311" s="4">
        <v>1</v>
      </c>
      <c r="M311" s="4">
        <v>3</v>
      </c>
      <c r="N311" s="4" t="s">
        <v>3</v>
      </c>
      <c r="O311" s="4">
        <v>2</v>
      </c>
      <c r="P311" s="4"/>
      <c r="Q311" s="4"/>
      <c r="R311" s="4"/>
      <c r="S311" s="4"/>
      <c r="T311" s="4"/>
      <c r="U311" s="4"/>
      <c r="V311" s="4"/>
      <c r="W311" s="4">
        <v>107.56</v>
      </c>
      <c r="X311" s="4">
        <v>1</v>
      </c>
      <c r="Y311" s="4">
        <v>3111.71</v>
      </c>
      <c r="Z311" s="4"/>
      <c r="AA311" s="4"/>
      <c r="AB311" s="4"/>
    </row>
    <row r="312" spans="1:245">
      <c r="A312" s="4">
        <v>50</v>
      </c>
      <c r="B312" s="4">
        <v>0</v>
      </c>
      <c r="C312" s="4">
        <v>0</v>
      </c>
      <c r="D312" s="4">
        <v>1</v>
      </c>
      <c r="E312" s="4">
        <v>202</v>
      </c>
      <c r="F312" s="4">
        <f>ROUND(Source!P309,O312)</f>
        <v>0</v>
      </c>
      <c r="G312" s="4" t="s">
        <v>86</v>
      </c>
      <c r="H312" s="4" t="s">
        <v>87</v>
      </c>
      <c r="I312" s="4"/>
      <c r="J312" s="4"/>
      <c r="K312" s="4">
        <v>202</v>
      </c>
      <c r="L312" s="4">
        <v>2</v>
      </c>
      <c r="M312" s="4">
        <v>3</v>
      </c>
      <c r="N312" s="4" t="s">
        <v>3</v>
      </c>
      <c r="O312" s="4">
        <v>2</v>
      </c>
      <c r="P312" s="4"/>
      <c r="Q312" s="4"/>
      <c r="R312" s="4"/>
      <c r="S312" s="4"/>
      <c r="T312" s="4"/>
      <c r="U312" s="4"/>
      <c r="V312" s="4"/>
      <c r="W312" s="4">
        <v>0</v>
      </c>
      <c r="X312" s="4">
        <v>1</v>
      </c>
      <c r="Y312" s="4">
        <v>0</v>
      </c>
      <c r="Z312" s="4"/>
      <c r="AA312" s="4"/>
      <c r="AB312" s="4"/>
    </row>
    <row r="313" spans="1:245">
      <c r="A313" s="4">
        <v>50</v>
      </c>
      <c r="B313" s="4">
        <v>0</v>
      </c>
      <c r="C313" s="4">
        <v>0</v>
      </c>
      <c r="D313" s="4">
        <v>1</v>
      </c>
      <c r="E313" s="4">
        <v>222</v>
      </c>
      <c r="F313" s="4">
        <f>ROUND(Source!AO309,O313)</f>
        <v>0</v>
      </c>
      <c r="G313" s="4" t="s">
        <v>88</v>
      </c>
      <c r="H313" s="4" t="s">
        <v>89</v>
      </c>
      <c r="I313" s="4"/>
      <c r="J313" s="4"/>
      <c r="K313" s="4">
        <v>222</v>
      </c>
      <c r="L313" s="4">
        <v>3</v>
      </c>
      <c r="M313" s="4">
        <v>3</v>
      </c>
      <c r="N313" s="4" t="s">
        <v>3</v>
      </c>
      <c r="O313" s="4">
        <v>2</v>
      </c>
      <c r="P313" s="4"/>
      <c r="Q313" s="4"/>
      <c r="R313" s="4"/>
      <c r="S313" s="4"/>
      <c r="T313" s="4"/>
      <c r="U313" s="4"/>
      <c r="V313" s="4"/>
      <c r="W313" s="4">
        <v>0</v>
      </c>
      <c r="X313" s="4">
        <v>1</v>
      </c>
      <c r="Y313" s="4">
        <v>0</v>
      </c>
      <c r="Z313" s="4"/>
      <c r="AA313" s="4"/>
      <c r="AB313" s="4"/>
    </row>
    <row r="314" spans="1:245">
      <c r="A314" s="4">
        <v>50</v>
      </c>
      <c r="B314" s="4">
        <v>0</v>
      </c>
      <c r="C314" s="4">
        <v>0</v>
      </c>
      <c r="D314" s="4">
        <v>1</v>
      </c>
      <c r="E314" s="4">
        <v>225</v>
      </c>
      <c r="F314" s="4">
        <f>ROUND(Source!AV309,O314)</f>
        <v>0</v>
      </c>
      <c r="G314" s="4" t="s">
        <v>90</v>
      </c>
      <c r="H314" s="4" t="s">
        <v>91</v>
      </c>
      <c r="I314" s="4"/>
      <c r="J314" s="4"/>
      <c r="K314" s="4">
        <v>225</v>
      </c>
      <c r="L314" s="4">
        <v>4</v>
      </c>
      <c r="M314" s="4">
        <v>3</v>
      </c>
      <c r="N314" s="4" t="s">
        <v>3</v>
      </c>
      <c r="O314" s="4">
        <v>2</v>
      </c>
      <c r="P314" s="4"/>
      <c r="Q314" s="4"/>
      <c r="R314" s="4"/>
      <c r="S314" s="4"/>
      <c r="T314" s="4"/>
      <c r="U314" s="4"/>
      <c r="V314" s="4"/>
      <c r="W314" s="4">
        <v>0</v>
      </c>
      <c r="X314" s="4">
        <v>1</v>
      </c>
      <c r="Y314" s="4">
        <v>0</v>
      </c>
      <c r="Z314" s="4"/>
      <c r="AA314" s="4"/>
      <c r="AB314" s="4"/>
    </row>
    <row r="315" spans="1:245">
      <c r="A315" s="4">
        <v>50</v>
      </c>
      <c r="B315" s="4">
        <v>0</v>
      </c>
      <c r="C315" s="4">
        <v>0</v>
      </c>
      <c r="D315" s="4">
        <v>1</v>
      </c>
      <c r="E315" s="4">
        <v>226</v>
      </c>
      <c r="F315" s="4">
        <f>ROUND(Source!AW309,O315)</f>
        <v>0</v>
      </c>
      <c r="G315" s="4" t="s">
        <v>92</v>
      </c>
      <c r="H315" s="4" t="s">
        <v>93</v>
      </c>
      <c r="I315" s="4"/>
      <c r="J315" s="4"/>
      <c r="K315" s="4">
        <v>226</v>
      </c>
      <c r="L315" s="4">
        <v>5</v>
      </c>
      <c r="M315" s="4">
        <v>3</v>
      </c>
      <c r="N315" s="4" t="s">
        <v>3</v>
      </c>
      <c r="O315" s="4">
        <v>2</v>
      </c>
      <c r="P315" s="4"/>
      <c r="Q315" s="4"/>
      <c r="R315" s="4"/>
      <c r="S315" s="4"/>
      <c r="T315" s="4"/>
      <c r="U315" s="4"/>
      <c r="V315" s="4"/>
      <c r="W315" s="4">
        <v>0</v>
      </c>
      <c r="X315" s="4">
        <v>1</v>
      </c>
      <c r="Y315" s="4">
        <v>0</v>
      </c>
      <c r="Z315" s="4"/>
      <c r="AA315" s="4"/>
      <c r="AB315" s="4"/>
    </row>
    <row r="316" spans="1:245">
      <c r="A316" s="4">
        <v>50</v>
      </c>
      <c r="B316" s="4">
        <v>0</v>
      </c>
      <c r="C316" s="4">
        <v>0</v>
      </c>
      <c r="D316" s="4">
        <v>1</v>
      </c>
      <c r="E316" s="4">
        <v>227</v>
      </c>
      <c r="F316" s="4">
        <f>ROUND(Source!AX309,O316)</f>
        <v>0</v>
      </c>
      <c r="G316" s="4" t="s">
        <v>94</v>
      </c>
      <c r="H316" s="4" t="s">
        <v>95</v>
      </c>
      <c r="I316" s="4"/>
      <c r="J316" s="4"/>
      <c r="K316" s="4">
        <v>227</v>
      </c>
      <c r="L316" s="4">
        <v>6</v>
      </c>
      <c r="M316" s="4">
        <v>3</v>
      </c>
      <c r="N316" s="4" t="s">
        <v>3</v>
      </c>
      <c r="O316" s="4">
        <v>2</v>
      </c>
      <c r="P316" s="4"/>
      <c r="Q316" s="4"/>
      <c r="R316" s="4"/>
      <c r="S316" s="4"/>
      <c r="T316" s="4"/>
      <c r="U316" s="4"/>
      <c r="V316" s="4"/>
      <c r="W316" s="4">
        <v>0</v>
      </c>
      <c r="X316" s="4">
        <v>1</v>
      </c>
      <c r="Y316" s="4">
        <v>0</v>
      </c>
      <c r="Z316" s="4"/>
      <c r="AA316" s="4"/>
      <c r="AB316" s="4"/>
    </row>
    <row r="317" spans="1:245">
      <c r="A317" s="4">
        <v>50</v>
      </c>
      <c r="B317" s="4">
        <v>0</v>
      </c>
      <c r="C317" s="4">
        <v>0</v>
      </c>
      <c r="D317" s="4">
        <v>1</v>
      </c>
      <c r="E317" s="4">
        <v>228</v>
      </c>
      <c r="F317" s="4">
        <f>ROUND(Source!AY309,O317)</f>
        <v>0</v>
      </c>
      <c r="G317" s="4" t="s">
        <v>96</v>
      </c>
      <c r="H317" s="4" t="s">
        <v>97</v>
      </c>
      <c r="I317" s="4"/>
      <c r="J317" s="4"/>
      <c r="K317" s="4">
        <v>228</v>
      </c>
      <c r="L317" s="4">
        <v>7</v>
      </c>
      <c r="M317" s="4">
        <v>3</v>
      </c>
      <c r="N317" s="4" t="s">
        <v>3</v>
      </c>
      <c r="O317" s="4">
        <v>2</v>
      </c>
      <c r="P317" s="4"/>
      <c r="Q317" s="4"/>
      <c r="R317" s="4"/>
      <c r="S317" s="4"/>
      <c r="T317" s="4"/>
      <c r="U317" s="4"/>
      <c r="V317" s="4"/>
      <c r="W317" s="4">
        <v>0</v>
      </c>
      <c r="X317" s="4">
        <v>1</v>
      </c>
      <c r="Y317" s="4">
        <v>0</v>
      </c>
      <c r="Z317" s="4"/>
      <c r="AA317" s="4"/>
      <c r="AB317" s="4"/>
    </row>
    <row r="318" spans="1:245">
      <c r="A318" s="4">
        <v>50</v>
      </c>
      <c r="B318" s="4">
        <v>0</v>
      </c>
      <c r="C318" s="4">
        <v>0</v>
      </c>
      <c r="D318" s="4">
        <v>1</v>
      </c>
      <c r="E318" s="4">
        <v>216</v>
      </c>
      <c r="F318" s="4">
        <f>ROUND(Source!AP309,O318)</f>
        <v>0</v>
      </c>
      <c r="G318" s="4" t="s">
        <v>98</v>
      </c>
      <c r="H318" s="4" t="s">
        <v>99</v>
      </c>
      <c r="I318" s="4"/>
      <c r="J318" s="4"/>
      <c r="K318" s="4">
        <v>216</v>
      </c>
      <c r="L318" s="4">
        <v>8</v>
      </c>
      <c r="M318" s="4">
        <v>3</v>
      </c>
      <c r="N318" s="4" t="s">
        <v>3</v>
      </c>
      <c r="O318" s="4">
        <v>2</v>
      </c>
      <c r="P318" s="4"/>
      <c r="Q318" s="4"/>
      <c r="R318" s="4"/>
      <c r="S318" s="4"/>
      <c r="T318" s="4"/>
      <c r="U318" s="4"/>
      <c r="V318" s="4"/>
      <c r="W318" s="4">
        <v>0</v>
      </c>
      <c r="X318" s="4">
        <v>1</v>
      </c>
      <c r="Y318" s="4">
        <v>0</v>
      </c>
      <c r="Z318" s="4"/>
      <c r="AA318" s="4"/>
      <c r="AB318" s="4"/>
    </row>
    <row r="319" spans="1:245">
      <c r="A319" s="4">
        <v>50</v>
      </c>
      <c r="B319" s="4">
        <v>0</v>
      </c>
      <c r="C319" s="4">
        <v>0</v>
      </c>
      <c r="D319" s="4">
        <v>1</v>
      </c>
      <c r="E319" s="4">
        <v>223</v>
      </c>
      <c r="F319" s="4">
        <f>ROUND(Source!AQ309,O319)</f>
        <v>0</v>
      </c>
      <c r="G319" s="4" t="s">
        <v>100</v>
      </c>
      <c r="H319" s="4" t="s">
        <v>101</v>
      </c>
      <c r="I319" s="4"/>
      <c r="J319" s="4"/>
      <c r="K319" s="4">
        <v>223</v>
      </c>
      <c r="L319" s="4">
        <v>9</v>
      </c>
      <c r="M319" s="4">
        <v>3</v>
      </c>
      <c r="N319" s="4" t="s">
        <v>3</v>
      </c>
      <c r="O319" s="4">
        <v>2</v>
      </c>
      <c r="P319" s="4"/>
      <c r="Q319" s="4"/>
      <c r="R319" s="4"/>
      <c r="S319" s="4"/>
      <c r="T319" s="4"/>
      <c r="U319" s="4"/>
      <c r="V319" s="4"/>
      <c r="W319" s="4">
        <v>0</v>
      </c>
      <c r="X319" s="4">
        <v>1</v>
      </c>
      <c r="Y319" s="4">
        <v>0</v>
      </c>
      <c r="Z319" s="4"/>
      <c r="AA319" s="4"/>
      <c r="AB319" s="4"/>
    </row>
    <row r="320" spans="1:245">
      <c r="A320" s="4">
        <v>50</v>
      </c>
      <c r="B320" s="4">
        <v>0</v>
      </c>
      <c r="C320" s="4">
        <v>0</v>
      </c>
      <c r="D320" s="4">
        <v>1</v>
      </c>
      <c r="E320" s="4">
        <v>229</v>
      </c>
      <c r="F320" s="4">
        <f>ROUND(Source!AZ309,O320)</f>
        <v>0</v>
      </c>
      <c r="G320" s="4" t="s">
        <v>102</v>
      </c>
      <c r="H320" s="4" t="s">
        <v>103</v>
      </c>
      <c r="I320" s="4"/>
      <c r="J320" s="4"/>
      <c r="K320" s="4">
        <v>229</v>
      </c>
      <c r="L320" s="4">
        <v>10</v>
      </c>
      <c r="M320" s="4">
        <v>3</v>
      </c>
      <c r="N320" s="4" t="s">
        <v>3</v>
      </c>
      <c r="O320" s="4">
        <v>2</v>
      </c>
      <c r="P320" s="4"/>
      <c r="Q320" s="4"/>
      <c r="R320" s="4"/>
      <c r="S320" s="4"/>
      <c r="T320" s="4"/>
      <c r="U320" s="4"/>
      <c r="V320" s="4"/>
      <c r="W320" s="4">
        <v>0</v>
      </c>
      <c r="X320" s="4">
        <v>1</v>
      </c>
      <c r="Y320" s="4">
        <v>0</v>
      </c>
      <c r="Z320" s="4"/>
      <c r="AA320" s="4"/>
      <c r="AB320" s="4"/>
    </row>
    <row r="321" spans="1:28">
      <c r="A321" s="4">
        <v>50</v>
      </c>
      <c r="B321" s="4">
        <v>0</v>
      </c>
      <c r="C321" s="4">
        <v>0</v>
      </c>
      <c r="D321" s="4">
        <v>1</v>
      </c>
      <c r="E321" s="4">
        <v>203</v>
      </c>
      <c r="F321" s="4">
        <f>ROUND(Source!Q309,O321)</f>
        <v>0</v>
      </c>
      <c r="G321" s="4" t="s">
        <v>104</v>
      </c>
      <c r="H321" s="4" t="s">
        <v>105</v>
      </c>
      <c r="I321" s="4"/>
      <c r="J321" s="4"/>
      <c r="K321" s="4">
        <v>203</v>
      </c>
      <c r="L321" s="4">
        <v>11</v>
      </c>
      <c r="M321" s="4">
        <v>3</v>
      </c>
      <c r="N321" s="4" t="s">
        <v>3</v>
      </c>
      <c r="O321" s="4">
        <v>2</v>
      </c>
      <c r="P321" s="4"/>
      <c r="Q321" s="4"/>
      <c r="R321" s="4"/>
      <c r="S321" s="4"/>
      <c r="T321" s="4"/>
      <c r="U321" s="4"/>
      <c r="V321" s="4"/>
      <c r="W321" s="4">
        <v>0</v>
      </c>
      <c r="X321" s="4">
        <v>1</v>
      </c>
      <c r="Y321" s="4">
        <v>0</v>
      </c>
      <c r="Z321" s="4"/>
      <c r="AA321" s="4"/>
      <c r="AB321" s="4"/>
    </row>
    <row r="322" spans="1:28">
      <c r="A322" s="4">
        <v>50</v>
      </c>
      <c r="B322" s="4">
        <v>0</v>
      </c>
      <c r="C322" s="4">
        <v>0</v>
      </c>
      <c r="D322" s="4">
        <v>1</v>
      </c>
      <c r="E322" s="4">
        <v>231</v>
      </c>
      <c r="F322" s="4">
        <f>ROUND(Source!BB309,O322)</f>
        <v>0</v>
      </c>
      <c r="G322" s="4" t="s">
        <v>106</v>
      </c>
      <c r="H322" s="4" t="s">
        <v>107</v>
      </c>
      <c r="I322" s="4"/>
      <c r="J322" s="4"/>
      <c r="K322" s="4">
        <v>231</v>
      </c>
      <c r="L322" s="4">
        <v>12</v>
      </c>
      <c r="M322" s="4">
        <v>3</v>
      </c>
      <c r="N322" s="4" t="s">
        <v>3</v>
      </c>
      <c r="O322" s="4">
        <v>2</v>
      </c>
      <c r="P322" s="4"/>
      <c r="Q322" s="4"/>
      <c r="R322" s="4"/>
      <c r="S322" s="4"/>
      <c r="T322" s="4"/>
      <c r="U322" s="4"/>
      <c r="V322" s="4"/>
      <c r="W322" s="4">
        <v>0</v>
      </c>
      <c r="X322" s="4">
        <v>1</v>
      </c>
      <c r="Y322" s="4">
        <v>0</v>
      </c>
      <c r="Z322" s="4"/>
      <c r="AA322" s="4"/>
      <c r="AB322" s="4"/>
    </row>
    <row r="323" spans="1:28">
      <c r="A323" s="4">
        <v>50</v>
      </c>
      <c r="B323" s="4">
        <v>0</v>
      </c>
      <c r="C323" s="4">
        <v>0</v>
      </c>
      <c r="D323" s="4">
        <v>1</v>
      </c>
      <c r="E323" s="4">
        <v>204</v>
      </c>
      <c r="F323" s="4">
        <f>ROUND(Source!R309,O323)</f>
        <v>0</v>
      </c>
      <c r="G323" s="4" t="s">
        <v>108</v>
      </c>
      <c r="H323" s="4" t="s">
        <v>109</v>
      </c>
      <c r="I323" s="4"/>
      <c r="J323" s="4"/>
      <c r="K323" s="4">
        <v>204</v>
      </c>
      <c r="L323" s="4">
        <v>13</v>
      </c>
      <c r="M323" s="4">
        <v>3</v>
      </c>
      <c r="N323" s="4" t="s">
        <v>3</v>
      </c>
      <c r="O323" s="4">
        <v>2</v>
      </c>
      <c r="P323" s="4"/>
      <c r="Q323" s="4"/>
      <c r="R323" s="4"/>
      <c r="S323" s="4"/>
      <c r="T323" s="4"/>
      <c r="U323" s="4"/>
      <c r="V323" s="4"/>
      <c r="W323" s="4">
        <v>0</v>
      </c>
      <c r="X323" s="4">
        <v>1</v>
      </c>
      <c r="Y323" s="4">
        <v>0</v>
      </c>
      <c r="Z323" s="4"/>
      <c r="AA323" s="4"/>
      <c r="AB323" s="4"/>
    </row>
    <row r="324" spans="1:28">
      <c r="A324" s="4">
        <v>50</v>
      </c>
      <c r="B324" s="4">
        <v>0</v>
      </c>
      <c r="C324" s="4">
        <v>0</v>
      </c>
      <c r="D324" s="4">
        <v>1</v>
      </c>
      <c r="E324" s="4">
        <v>205</v>
      </c>
      <c r="F324" s="4">
        <f>ROUND(Source!S309,O324)</f>
        <v>107.56</v>
      </c>
      <c r="G324" s="4" t="s">
        <v>110</v>
      </c>
      <c r="H324" s="4" t="s">
        <v>111</v>
      </c>
      <c r="I324" s="4"/>
      <c r="J324" s="4"/>
      <c r="K324" s="4">
        <v>205</v>
      </c>
      <c r="L324" s="4">
        <v>14</v>
      </c>
      <c r="M324" s="4">
        <v>3</v>
      </c>
      <c r="N324" s="4" t="s">
        <v>3</v>
      </c>
      <c r="O324" s="4">
        <v>2</v>
      </c>
      <c r="P324" s="4"/>
      <c r="Q324" s="4"/>
      <c r="R324" s="4"/>
      <c r="S324" s="4"/>
      <c r="T324" s="4"/>
      <c r="U324" s="4"/>
      <c r="V324" s="4"/>
      <c r="W324" s="4">
        <v>107.56</v>
      </c>
      <c r="X324" s="4">
        <v>1</v>
      </c>
      <c r="Y324" s="4">
        <v>3111.71</v>
      </c>
      <c r="Z324" s="4"/>
      <c r="AA324" s="4"/>
      <c r="AB324" s="4"/>
    </row>
    <row r="325" spans="1:28">
      <c r="A325" s="4">
        <v>50</v>
      </c>
      <c r="B325" s="4">
        <v>0</v>
      </c>
      <c r="C325" s="4">
        <v>0</v>
      </c>
      <c r="D325" s="4">
        <v>1</v>
      </c>
      <c r="E325" s="4">
        <v>232</v>
      </c>
      <c r="F325" s="4">
        <f>ROUND(Source!BC309,O325)</f>
        <v>0</v>
      </c>
      <c r="G325" s="4" t="s">
        <v>112</v>
      </c>
      <c r="H325" s="4" t="s">
        <v>113</v>
      </c>
      <c r="I325" s="4"/>
      <c r="J325" s="4"/>
      <c r="K325" s="4">
        <v>232</v>
      </c>
      <c r="L325" s="4">
        <v>15</v>
      </c>
      <c r="M325" s="4">
        <v>3</v>
      </c>
      <c r="N325" s="4" t="s">
        <v>3</v>
      </c>
      <c r="O325" s="4">
        <v>2</v>
      </c>
      <c r="P325" s="4"/>
      <c r="Q325" s="4"/>
      <c r="R325" s="4"/>
      <c r="S325" s="4"/>
      <c r="T325" s="4"/>
      <c r="U325" s="4"/>
      <c r="V325" s="4"/>
      <c r="W325" s="4">
        <v>0</v>
      </c>
      <c r="X325" s="4">
        <v>1</v>
      </c>
      <c r="Y325" s="4">
        <v>0</v>
      </c>
      <c r="Z325" s="4"/>
      <c r="AA325" s="4"/>
      <c r="AB325" s="4"/>
    </row>
    <row r="326" spans="1:28">
      <c r="A326" s="4">
        <v>50</v>
      </c>
      <c r="B326" s="4">
        <v>0</v>
      </c>
      <c r="C326" s="4">
        <v>0</v>
      </c>
      <c r="D326" s="4">
        <v>1</v>
      </c>
      <c r="E326" s="4">
        <v>214</v>
      </c>
      <c r="F326" s="4">
        <f>ROUND(Source!AS309,O326)</f>
        <v>0</v>
      </c>
      <c r="G326" s="4" t="s">
        <v>114</v>
      </c>
      <c r="H326" s="4" t="s">
        <v>115</v>
      </c>
      <c r="I326" s="4"/>
      <c r="J326" s="4"/>
      <c r="K326" s="4">
        <v>214</v>
      </c>
      <c r="L326" s="4">
        <v>16</v>
      </c>
      <c r="M326" s="4">
        <v>3</v>
      </c>
      <c r="N326" s="4" t="s">
        <v>3</v>
      </c>
      <c r="O326" s="4">
        <v>2</v>
      </c>
      <c r="P326" s="4"/>
      <c r="Q326" s="4"/>
      <c r="R326" s="4"/>
      <c r="S326" s="4"/>
      <c r="T326" s="4"/>
      <c r="U326" s="4"/>
      <c r="V326" s="4"/>
      <c r="W326" s="4">
        <v>0</v>
      </c>
      <c r="X326" s="4">
        <v>1</v>
      </c>
      <c r="Y326" s="4">
        <v>0</v>
      </c>
      <c r="Z326" s="4"/>
      <c r="AA326" s="4"/>
      <c r="AB326" s="4"/>
    </row>
    <row r="327" spans="1:28">
      <c r="A327" s="4">
        <v>50</v>
      </c>
      <c r="B327" s="4">
        <v>0</v>
      </c>
      <c r="C327" s="4">
        <v>0</v>
      </c>
      <c r="D327" s="4">
        <v>1</v>
      </c>
      <c r="E327" s="4">
        <v>215</v>
      </c>
      <c r="F327" s="4">
        <f>ROUND(Source!AT309,O327)</f>
        <v>0</v>
      </c>
      <c r="G327" s="4" t="s">
        <v>116</v>
      </c>
      <c r="H327" s="4" t="s">
        <v>117</v>
      </c>
      <c r="I327" s="4"/>
      <c r="J327" s="4"/>
      <c r="K327" s="4">
        <v>215</v>
      </c>
      <c r="L327" s="4">
        <v>17</v>
      </c>
      <c r="M327" s="4">
        <v>3</v>
      </c>
      <c r="N327" s="4" t="s">
        <v>3</v>
      </c>
      <c r="O327" s="4">
        <v>2</v>
      </c>
      <c r="P327" s="4"/>
      <c r="Q327" s="4"/>
      <c r="R327" s="4"/>
      <c r="S327" s="4"/>
      <c r="T327" s="4"/>
      <c r="U327" s="4"/>
      <c r="V327" s="4"/>
      <c r="W327" s="4">
        <v>0</v>
      </c>
      <c r="X327" s="4">
        <v>1</v>
      </c>
      <c r="Y327" s="4">
        <v>0</v>
      </c>
      <c r="Z327" s="4"/>
      <c r="AA327" s="4"/>
      <c r="AB327" s="4"/>
    </row>
    <row r="328" spans="1:28">
      <c r="A328" s="4">
        <v>50</v>
      </c>
      <c r="B328" s="4">
        <v>0</v>
      </c>
      <c r="C328" s="4">
        <v>0</v>
      </c>
      <c r="D328" s="4">
        <v>1</v>
      </c>
      <c r="E328" s="4">
        <v>217</v>
      </c>
      <c r="F328" s="4">
        <f>ROUND(Source!AU309,O328)</f>
        <v>225.87</v>
      </c>
      <c r="G328" s="4" t="s">
        <v>118</v>
      </c>
      <c r="H328" s="4" t="s">
        <v>119</v>
      </c>
      <c r="I328" s="4"/>
      <c r="J328" s="4"/>
      <c r="K328" s="4">
        <v>217</v>
      </c>
      <c r="L328" s="4">
        <v>18</v>
      </c>
      <c r="M328" s="4">
        <v>3</v>
      </c>
      <c r="N328" s="4" t="s">
        <v>3</v>
      </c>
      <c r="O328" s="4">
        <v>2</v>
      </c>
      <c r="P328" s="4"/>
      <c r="Q328" s="4"/>
      <c r="R328" s="4"/>
      <c r="S328" s="4"/>
      <c r="T328" s="4"/>
      <c r="U328" s="4"/>
      <c r="V328" s="4"/>
      <c r="W328" s="4">
        <v>225.87</v>
      </c>
      <c r="X328" s="4">
        <v>1</v>
      </c>
      <c r="Y328" s="4">
        <v>6534.59</v>
      </c>
      <c r="Z328" s="4"/>
      <c r="AA328" s="4"/>
      <c r="AB328" s="4"/>
    </row>
    <row r="329" spans="1:28">
      <c r="A329" s="4">
        <v>50</v>
      </c>
      <c r="B329" s="4">
        <v>0</v>
      </c>
      <c r="C329" s="4">
        <v>0</v>
      </c>
      <c r="D329" s="4">
        <v>1</v>
      </c>
      <c r="E329" s="4">
        <v>230</v>
      </c>
      <c r="F329" s="4">
        <f>ROUND(Source!BA309,O329)</f>
        <v>0</v>
      </c>
      <c r="G329" s="4" t="s">
        <v>120</v>
      </c>
      <c r="H329" s="4" t="s">
        <v>121</v>
      </c>
      <c r="I329" s="4"/>
      <c r="J329" s="4"/>
      <c r="K329" s="4">
        <v>230</v>
      </c>
      <c r="L329" s="4">
        <v>19</v>
      </c>
      <c r="M329" s="4">
        <v>3</v>
      </c>
      <c r="N329" s="4" t="s">
        <v>3</v>
      </c>
      <c r="O329" s="4">
        <v>2</v>
      </c>
      <c r="P329" s="4"/>
      <c r="Q329" s="4"/>
      <c r="R329" s="4"/>
      <c r="S329" s="4"/>
      <c r="T329" s="4"/>
      <c r="U329" s="4"/>
      <c r="V329" s="4"/>
      <c r="W329" s="4">
        <v>0</v>
      </c>
      <c r="X329" s="4">
        <v>1</v>
      </c>
      <c r="Y329" s="4">
        <v>0</v>
      </c>
      <c r="Z329" s="4"/>
      <c r="AA329" s="4"/>
      <c r="AB329" s="4"/>
    </row>
    <row r="330" spans="1:28">
      <c r="A330" s="4">
        <v>50</v>
      </c>
      <c r="B330" s="4">
        <v>0</v>
      </c>
      <c r="C330" s="4">
        <v>0</v>
      </c>
      <c r="D330" s="4">
        <v>1</v>
      </c>
      <c r="E330" s="4">
        <v>206</v>
      </c>
      <c r="F330" s="4">
        <f>ROUND(Source!T309,O330)</f>
        <v>0</v>
      </c>
      <c r="G330" s="4" t="s">
        <v>122</v>
      </c>
      <c r="H330" s="4" t="s">
        <v>123</v>
      </c>
      <c r="I330" s="4"/>
      <c r="J330" s="4"/>
      <c r="K330" s="4">
        <v>206</v>
      </c>
      <c r="L330" s="4">
        <v>20</v>
      </c>
      <c r="M330" s="4">
        <v>3</v>
      </c>
      <c r="N330" s="4" t="s">
        <v>3</v>
      </c>
      <c r="O330" s="4">
        <v>2</v>
      </c>
      <c r="P330" s="4"/>
      <c r="Q330" s="4"/>
      <c r="R330" s="4"/>
      <c r="S330" s="4"/>
      <c r="T330" s="4"/>
      <c r="U330" s="4"/>
      <c r="V330" s="4"/>
      <c r="W330" s="4">
        <v>0</v>
      </c>
      <c r="X330" s="4">
        <v>1</v>
      </c>
      <c r="Y330" s="4">
        <v>0</v>
      </c>
      <c r="Z330" s="4"/>
      <c r="AA330" s="4"/>
      <c r="AB330" s="4"/>
    </row>
    <row r="331" spans="1:28">
      <c r="A331" s="4">
        <v>50</v>
      </c>
      <c r="B331" s="4">
        <v>0</v>
      </c>
      <c r="C331" s="4">
        <v>0</v>
      </c>
      <c r="D331" s="4">
        <v>1</v>
      </c>
      <c r="E331" s="4">
        <v>207</v>
      </c>
      <c r="F331" s="4">
        <f>Source!U309</f>
        <v>8.6399999999999988</v>
      </c>
      <c r="G331" s="4" t="s">
        <v>124</v>
      </c>
      <c r="H331" s="4" t="s">
        <v>125</v>
      </c>
      <c r="I331" s="4"/>
      <c r="J331" s="4"/>
      <c r="K331" s="4">
        <v>207</v>
      </c>
      <c r="L331" s="4">
        <v>21</v>
      </c>
      <c r="M331" s="4">
        <v>3</v>
      </c>
      <c r="N331" s="4" t="s">
        <v>3</v>
      </c>
      <c r="O331" s="4">
        <v>-1</v>
      </c>
      <c r="P331" s="4"/>
      <c r="Q331" s="4"/>
      <c r="R331" s="4"/>
      <c r="S331" s="4"/>
      <c r="T331" s="4"/>
      <c r="U331" s="4"/>
      <c r="V331" s="4"/>
      <c r="W331" s="4">
        <v>8.64</v>
      </c>
      <c r="X331" s="4">
        <v>1</v>
      </c>
      <c r="Y331" s="4">
        <v>8.64</v>
      </c>
      <c r="Z331" s="4"/>
      <c r="AA331" s="4"/>
      <c r="AB331" s="4"/>
    </row>
    <row r="332" spans="1:28">
      <c r="A332" s="4">
        <v>50</v>
      </c>
      <c r="B332" s="4">
        <v>0</v>
      </c>
      <c r="C332" s="4">
        <v>0</v>
      </c>
      <c r="D332" s="4">
        <v>1</v>
      </c>
      <c r="E332" s="4">
        <v>208</v>
      </c>
      <c r="F332" s="4">
        <f>Source!V309</f>
        <v>0</v>
      </c>
      <c r="G332" s="4" t="s">
        <v>126</v>
      </c>
      <c r="H332" s="4" t="s">
        <v>127</v>
      </c>
      <c r="I332" s="4"/>
      <c r="J332" s="4"/>
      <c r="K332" s="4">
        <v>208</v>
      </c>
      <c r="L332" s="4">
        <v>22</v>
      </c>
      <c r="M332" s="4">
        <v>3</v>
      </c>
      <c r="N332" s="4" t="s">
        <v>3</v>
      </c>
      <c r="O332" s="4">
        <v>-1</v>
      </c>
      <c r="P332" s="4"/>
      <c r="Q332" s="4"/>
      <c r="R332" s="4"/>
      <c r="S332" s="4"/>
      <c r="T332" s="4"/>
      <c r="U332" s="4"/>
      <c r="V332" s="4"/>
      <c r="W332" s="4">
        <v>0</v>
      </c>
      <c r="X332" s="4">
        <v>1</v>
      </c>
      <c r="Y332" s="4">
        <v>0</v>
      </c>
      <c r="Z332" s="4"/>
      <c r="AA332" s="4"/>
      <c r="AB332" s="4"/>
    </row>
    <row r="333" spans="1:28">
      <c r="A333" s="4">
        <v>50</v>
      </c>
      <c r="B333" s="4">
        <v>0</v>
      </c>
      <c r="C333" s="4">
        <v>0</v>
      </c>
      <c r="D333" s="4">
        <v>1</v>
      </c>
      <c r="E333" s="4">
        <v>209</v>
      </c>
      <c r="F333" s="4">
        <f>ROUND(Source!W309,O333)</f>
        <v>0</v>
      </c>
      <c r="G333" s="4" t="s">
        <v>128</v>
      </c>
      <c r="H333" s="4" t="s">
        <v>129</v>
      </c>
      <c r="I333" s="4"/>
      <c r="J333" s="4"/>
      <c r="K333" s="4">
        <v>209</v>
      </c>
      <c r="L333" s="4">
        <v>23</v>
      </c>
      <c r="M333" s="4">
        <v>3</v>
      </c>
      <c r="N333" s="4" t="s">
        <v>3</v>
      </c>
      <c r="O333" s="4">
        <v>2</v>
      </c>
      <c r="P333" s="4"/>
      <c r="Q333" s="4"/>
      <c r="R333" s="4"/>
      <c r="S333" s="4"/>
      <c r="T333" s="4"/>
      <c r="U333" s="4"/>
      <c r="V333" s="4"/>
      <c r="W333" s="4">
        <v>0</v>
      </c>
      <c r="X333" s="4">
        <v>1</v>
      </c>
      <c r="Y333" s="4">
        <v>0</v>
      </c>
      <c r="Z333" s="4"/>
      <c r="AA333" s="4"/>
      <c r="AB333" s="4"/>
    </row>
    <row r="334" spans="1:28">
      <c r="A334" s="4">
        <v>50</v>
      </c>
      <c r="B334" s="4">
        <v>0</v>
      </c>
      <c r="C334" s="4">
        <v>0</v>
      </c>
      <c r="D334" s="4">
        <v>1</v>
      </c>
      <c r="E334" s="4">
        <v>233</v>
      </c>
      <c r="F334" s="4">
        <f>ROUND(Source!BD309,O334)</f>
        <v>0</v>
      </c>
      <c r="G334" s="4" t="s">
        <v>130</v>
      </c>
      <c r="H334" s="4" t="s">
        <v>131</v>
      </c>
      <c r="I334" s="4"/>
      <c r="J334" s="4"/>
      <c r="K334" s="4">
        <v>233</v>
      </c>
      <c r="L334" s="4">
        <v>24</v>
      </c>
      <c r="M334" s="4">
        <v>3</v>
      </c>
      <c r="N334" s="4" t="s">
        <v>3</v>
      </c>
      <c r="O334" s="4">
        <v>2</v>
      </c>
      <c r="P334" s="4"/>
      <c r="Q334" s="4"/>
      <c r="R334" s="4"/>
      <c r="S334" s="4"/>
      <c r="T334" s="4"/>
      <c r="U334" s="4"/>
      <c r="V334" s="4"/>
      <c r="W334" s="4">
        <v>0</v>
      </c>
      <c r="X334" s="4">
        <v>1</v>
      </c>
      <c r="Y334" s="4">
        <v>0</v>
      </c>
      <c r="Z334" s="4"/>
      <c r="AA334" s="4"/>
      <c r="AB334" s="4"/>
    </row>
    <row r="335" spans="1:28">
      <c r="A335" s="4">
        <v>50</v>
      </c>
      <c r="B335" s="4">
        <v>0</v>
      </c>
      <c r="C335" s="4">
        <v>0</v>
      </c>
      <c r="D335" s="4">
        <v>1</v>
      </c>
      <c r="E335" s="4">
        <v>0</v>
      </c>
      <c r="F335" s="4">
        <f>ROUND(Source!X309,O335)</f>
        <v>79.59</v>
      </c>
      <c r="G335" s="4" t="s">
        <v>132</v>
      </c>
      <c r="H335" s="4" t="s">
        <v>133</v>
      </c>
      <c r="I335" s="4"/>
      <c r="J335" s="4"/>
      <c r="K335" s="4">
        <v>210</v>
      </c>
      <c r="L335" s="4">
        <v>25</v>
      </c>
      <c r="M335" s="4">
        <v>3</v>
      </c>
      <c r="N335" s="4" t="s">
        <v>3</v>
      </c>
      <c r="O335" s="4">
        <v>2</v>
      </c>
      <c r="P335" s="4"/>
      <c r="Q335" s="4"/>
      <c r="R335" s="4"/>
      <c r="S335" s="4"/>
      <c r="T335" s="4"/>
      <c r="U335" s="4"/>
      <c r="V335" s="4"/>
      <c r="W335" s="4">
        <v>79.59</v>
      </c>
      <c r="X335" s="4">
        <v>1</v>
      </c>
      <c r="Y335" s="4">
        <v>2302.66</v>
      </c>
      <c r="Z335" s="4"/>
      <c r="AA335" s="4"/>
      <c r="AB335" s="4"/>
    </row>
    <row r="336" spans="1:28">
      <c r="A336" s="4">
        <v>50</v>
      </c>
      <c r="B336" s="4">
        <v>0</v>
      </c>
      <c r="C336" s="4">
        <v>0</v>
      </c>
      <c r="D336" s="4">
        <v>1</v>
      </c>
      <c r="E336" s="4">
        <v>0</v>
      </c>
      <c r="F336" s="4">
        <f>ROUND(Source!Y309,O336)</f>
        <v>38.72</v>
      </c>
      <c r="G336" s="4" t="s">
        <v>134</v>
      </c>
      <c r="H336" s="4" t="s">
        <v>135</v>
      </c>
      <c r="I336" s="4"/>
      <c r="J336" s="4"/>
      <c r="K336" s="4">
        <v>211</v>
      </c>
      <c r="L336" s="4">
        <v>26</v>
      </c>
      <c r="M336" s="4">
        <v>3</v>
      </c>
      <c r="N336" s="4" t="s">
        <v>3</v>
      </c>
      <c r="O336" s="4">
        <v>2</v>
      </c>
      <c r="P336" s="4"/>
      <c r="Q336" s="4"/>
      <c r="R336" s="4"/>
      <c r="S336" s="4"/>
      <c r="T336" s="4"/>
      <c r="U336" s="4"/>
      <c r="V336" s="4"/>
      <c r="W336" s="4">
        <v>38.72</v>
      </c>
      <c r="X336" s="4">
        <v>1</v>
      </c>
      <c r="Y336" s="4">
        <v>1120.22</v>
      </c>
      <c r="Z336" s="4"/>
      <c r="AA336" s="4"/>
      <c r="AB336" s="4"/>
    </row>
    <row r="337" spans="1:206">
      <c r="A337" s="4">
        <v>50</v>
      </c>
      <c r="B337" s="4">
        <v>0</v>
      </c>
      <c r="C337" s="4">
        <v>0</v>
      </c>
      <c r="D337" s="4">
        <v>1</v>
      </c>
      <c r="E337" s="4">
        <v>224</v>
      </c>
      <c r="F337" s="4">
        <f>ROUND(Source!AR309,O337)</f>
        <v>225.87</v>
      </c>
      <c r="G337" s="4" t="s">
        <v>136</v>
      </c>
      <c r="H337" s="4" t="s">
        <v>137</v>
      </c>
      <c r="I337" s="4"/>
      <c r="J337" s="4"/>
      <c r="K337" s="4">
        <v>224</v>
      </c>
      <c r="L337" s="4">
        <v>27</v>
      </c>
      <c r="M337" s="4">
        <v>3</v>
      </c>
      <c r="N337" s="4" t="s">
        <v>3</v>
      </c>
      <c r="O337" s="4">
        <v>2</v>
      </c>
      <c r="P337" s="4"/>
      <c r="Q337" s="4"/>
      <c r="R337" s="4"/>
      <c r="S337" s="4"/>
      <c r="T337" s="4"/>
      <c r="U337" s="4"/>
      <c r="V337" s="4"/>
      <c r="W337" s="4">
        <v>225.87</v>
      </c>
      <c r="X337" s="4">
        <v>1</v>
      </c>
      <c r="Y337" s="4">
        <v>6534.59</v>
      </c>
      <c r="Z337" s="4"/>
      <c r="AA337" s="4"/>
      <c r="AB337" s="4"/>
    </row>
    <row r="338" spans="1:206">
      <c r="A338" s="4">
        <v>50</v>
      </c>
      <c r="B338" s="4">
        <v>1</v>
      </c>
      <c r="C338" s="4">
        <v>0</v>
      </c>
      <c r="D338" s="4">
        <v>2</v>
      </c>
      <c r="E338" s="4">
        <v>201</v>
      </c>
      <c r="F338" s="4">
        <f>ROUND(ROUND(F311,0),O338)</f>
        <v>108</v>
      </c>
      <c r="G338" s="4" t="s">
        <v>138</v>
      </c>
      <c r="H338" s="4" t="s">
        <v>139</v>
      </c>
      <c r="I338" s="4"/>
      <c r="J338" s="4"/>
      <c r="K338" s="4">
        <v>212</v>
      </c>
      <c r="L338" s="4">
        <v>28</v>
      </c>
      <c r="M338" s="4">
        <v>0</v>
      </c>
      <c r="N338" s="4" t="s">
        <v>3</v>
      </c>
      <c r="O338" s="4">
        <v>0</v>
      </c>
      <c r="P338" s="4"/>
      <c r="Q338" s="4"/>
      <c r="R338" s="4"/>
      <c r="S338" s="4"/>
      <c r="T338" s="4"/>
      <c r="U338" s="4"/>
      <c r="V338" s="4"/>
      <c r="W338" s="4">
        <v>108</v>
      </c>
      <c r="X338" s="4">
        <v>1</v>
      </c>
      <c r="Y338" s="4">
        <v>3112</v>
      </c>
      <c r="Z338" s="4"/>
      <c r="AA338" s="4"/>
      <c r="AB338" s="4"/>
    </row>
    <row r="339" spans="1:206">
      <c r="A339" s="4">
        <v>50</v>
      </c>
      <c r="B339" s="4">
        <v>1</v>
      </c>
      <c r="C339" s="4">
        <v>0</v>
      </c>
      <c r="D339" s="4">
        <v>2</v>
      </c>
      <c r="E339" s="4">
        <v>210</v>
      </c>
      <c r="F339" s="4">
        <f>ROUND(ROUND(F335,0),O339)</f>
        <v>80</v>
      </c>
      <c r="G339" s="4" t="s">
        <v>140</v>
      </c>
      <c r="H339" s="4" t="s">
        <v>133</v>
      </c>
      <c r="I339" s="4"/>
      <c r="J339" s="4"/>
      <c r="K339" s="4">
        <v>212</v>
      </c>
      <c r="L339" s="4">
        <v>29</v>
      </c>
      <c r="M339" s="4">
        <v>0</v>
      </c>
      <c r="N339" s="4" t="s">
        <v>3</v>
      </c>
      <c r="O339" s="4">
        <v>0</v>
      </c>
      <c r="P339" s="4"/>
      <c r="Q339" s="4"/>
      <c r="R339" s="4"/>
      <c r="S339" s="4"/>
      <c r="T339" s="4"/>
      <c r="U339" s="4"/>
      <c r="V339" s="4"/>
      <c r="W339" s="4">
        <v>80</v>
      </c>
      <c r="X339" s="4">
        <v>1</v>
      </c>
      <c r="Y339" s="4">
        <v>2303</v>
      </c>
      <c r="Z339" s="4"/>
      <c r="AA339" s="4"/>
      <c r="AB339" s="4"/>
    </row>
    <row r="340" spans="1:206">
      <c r="A340" s="4">
        <v>50</v>
      </c>
      <c r="B340" s="4">
        <v>1</v>
      </c>
      <c r="C340" s="4">
        <v>0</v>
      </c>
      <c r="D340" s="4">
        <v>2</v>
      </c>
      <c r="E340" s="4">
        <v>211</v>
      </c>
      <c r="F340" s="4">
        <f>ROUND(ROUND(F336,0),O340)</f>
        <v>39</v>
      </c>
      <c r="G340" s="4" t="s">
        <v>141</v>
      </c>
      <c r="H340" s="4" t="s">
        <v>135</v>
      </c>
      <c r="I340" s="4"/>
      <c r="J340" s="4"/>
      <c r="K340" s="4">
        <v>212</v>
      </c>
      <c r="L340" s="4">
        <v>30</v>
      </c>
      <c r="M340" s="4">
        <v>0</v>
      </c>
      <c r="N340" s="4" t="s">
        <v>3</v>
      </c>
      <c r="O340" s="4">
        <v>0</v>
      </c>
      <c r="P340" s="4"/>
      <c r="Q340" s="4"/>
      <c r="R340" s="4"/>
      <c r="S340" s="4"/>
      <c r="T340" s="4"/>
      <c r="U340" s="4"/>
      <c r="V340" s="4"/>
      <c r="W340" s="4">
        <v>39</v>
      </c>
      <c r="X340" s="4">
        <v>1</v>
      </c>
      <c r="Y340" s="4">
        <v>1120</v>
      </c>
      <c r="Z340" s="4"/>
      <c r="AA340" s="4"/>
      <c r="AB340" s="4"/>
    </row>
    <row r="341" spans="1:206">
      <c r="A341" s="4">
        <v>50</v>
      </c>
      <c r="B341" s="4">
        <v>1</v>
      </c>
      <c r="C341" s="4">
        <v>0</v>
      </c>
      <c r="D341" s="4">
        <v>2</v>
      </c>
      <c r="E341" s="4">
        <v>213</v>
      </c>
      <c r="F341" s="4">
        <f>ROUND(F338+F339+F340,O341)</f>
        <v>227</v>
      </c>
      <c r="G341" s="4" t="s">
        <v>142</v>
      </c>
      <c r="H341" s="4" t="s">
        <v>143</v>
      </c>
      <c r="I341" s="4"/>
      <c r="J341" s="4"/>
      <c r="K341" s="4">
        <v>212</v>
      </c>
      <c r="L341" s="4">
        <v>31</v>
      </c>
      <c r="M341" s="4">
        <v>0</v>
      </c>
      <c r="N341" s="4" t="s">
        <v>3</v>
      </c>
      <c r="O341" s="4">
        <v>2</v>
      </c>
      <c r="P341" s="4"/>
      <c r="Q341" s="4"/>
      <c r="R341" s="4"/>
      <c r="S341" s="4"/>
      <c r="T341" s="4"/>
      <c r="U341" s="4"/>
      <c r="V341" s="4"/>
      <c r="W341" s="4">
        <v>227</v>
      </c>
      <c r="X341" s="4">
        <v>1</v>
      </c>
      <c r="Y341" s="4">
        <v>6535</v>
      </c>
      <c r="Z341" s="4"/>
      <c r="AA341" s="4"/>
      <c r="AB341" s="4"/>
    </row>
    <row r="342" spans="1:206">
      <c r="A342" s="4">
        <v>50</v>
      </c>
      <c r="B342" s="4">
        <v>0</v>
      </c>
      <c r="C342" s="4">
        <v>0</v>
      </c>
      <c r="D342" s="4">
        <v>2</v>
      </c>
      <c r="E342" s="4">
        <v>0</v>
      </c>
      <c r="F342" s="4">
        <v>0</v>
      </c>
      <c r="G342" s="4" t="s">
        <v>144</v>
      </c>
      <c r="H342" s="4" t="s">
        <v>145</v>
      </c>
      <c r="I342" s="4"/>
      <c r="J342" s="4"/>
      <c r="K342" s="4">
        <v>212</v>
      </c>
      <c r="L342" s="4">
        <v>32</v>
      </c>
      <c r="M342" s="4">
        <v>1</v>
      </c>
      <c r="N342" s="4" t="s">
        <v>3</v>
      </c>
      <c r="O342" s="4">
        <v>2</v>
      </c>
      <c r="P342" s="4"/>
      <c r="Q342" s="4"/>
      <c r="R342" s="4"/>
      <c r="S342" s="4"/>
      <c r="T342" s="4"/>
      <c r="U342" s="4"/>
      <c r="V342" s="4"/>
      <c r="W342" s="4">
        <v>0</v>
      </c>
      <c r="X342" s="4">
        <v>1</v>
      </c>
      <c r="Y342" s="4">
        <v>0</v>
      </c>
      <c r="Z342" s="4"/>
      <c r="AA342" s="4"/>
      <c r="AB342" s="4"/>
    </row>
    <row r="343" spans="1:206">
      <c r="A343" s="4">
        <v>50</v>
      </c>
      <c r="B343" s="4">
        <v>0</v>
      </c>
      <c r="C343" s="4">
        <v>0</v>
      </c>
      <c r="D343" s="4">
        <v>2</v>
      </c>
      <c r="E343" s="4">
        <v>0</v>
      </c>
      <c r="F343" s="4">
        <v>0</v>
      </c>
      <c r="G343" s="4" t="s">
        <v>146</v>
      </c>
      <c r="H343" s="4" t="s">
        <v>147</v>
      </c>
      <c r="I343" s="4"/>
      <c r="J343" s="4"/>
      <c r="K343" s="4">
        <v>212</v>
      </c>
      <c r="L343" s="4">
        <v>33</v>
      </c>
      <c r="M343" s="4">
        <v>1</v>
      </c>
      <c r="N343" s="4" t="s">
        <v>3</v>
      </c>
      <c r="O343" s="4">
        <v>2</v>
      </c>
      <c r="P343" s="4"/>
      <c r="Q343" s="4"/>
      <c r="R343" s="4"/>
      <c r="S343" s="4"/>
      <c r="T343" s="4"/>
      <c r="U343" s="4"/>
      <c r="V343" s="4"/>
      <c r="W343" s="4">
        <v>0</v>
      </c>
      <c r="X343" s="4">
        <v>1</v>
      </c>
      <c r="Y343" s="4">
        <v>0</v>
      </c>
      <c r="Z343" s="4"/>
      <c r="AA343" s="4"/>
      <c r="AB343" s="4"/>
    </row>
    <row r="344" spans="1:206">
      <c r="A344" s="4">
        <v>50</v>
      </c>
      <c r="B344" s="4">
        <v>0</v>
      </c>
      <c r="C344" s="4">
        <v>0</v>
      </c>
      <c r="D344" s="4">
        <v>2</v>
      </c>
      <c r="E344" s="4">
        <v>0</v>
      </c>
      <c r="F344" s="4">
        <v>0</v>
      </c>
      <c r="G344" s="4" t="s">
        <v>148</v>
      </c>
      <c r="H344" s="4" t="s">
        <v>149</v>
      </c>
      <c r="I344" s="4"/>
      <c r="J344" s="4"/>
      <c r="K344" s="4">
        <v>212</v>
      </c>
      <c r="L344" s="4">
        <v>34</v>
      </c>
      <c r="M344" s="4">
        <v>1</v>
      </c>
      <c r="N344" s="4" t="s">
        <v>3</v>
      </c>
      <c r="O344" s="4">
        <v>2</v>
      </c>
      <c r="P344" s="4"/>
      <c r="Q344" s="4"/>
      <c r="R344" s="4"/>
      <c r="S344" s="4"/>
      <c r="T344" s="4"/>
      <c r="U344" s="4"/>
      <c r="V344" s="4"/>
      <c r="W344" s="4">
        <v>0</v>
      </c>
      <c r="X344" s="4">
        <v>1</v>
      </c>
      <c r="Y344" s="4">
        <v>0</v>
      </c>
      <c r="Z344" s="4"/>
      <c r="AA344" s="4"/>
      <c r="AB344" s="4"/>
    </row>
    <row r="345" spans="1:206">
      <c r="A345" s="4">
        <v>50</v>
      </c>
      <c r="B345" s="4">
        <v>1</v>
      </c>
      <c r="C345" s="4">
        <v>0</v>
      </c>
      <c r="D345" s="4">
        <v>2</v>
      </c>
      <c r="E345" s="4">
        <v>0</v>
      </c>
      <c r="F345" s="4">
        <v>225.87</v>
      </c>
      <c r="G345" s="4" t="s">
        <v>150</v>
      </c>
      <c r="H345" s="4" t="s">
        <v>151</v>
      </c>
      <c r="I345" s="4"/>
      <c r="J345" s="4"/>
      <c r="K345" s="4">
        <v>212</v>
      </c>
      <c r="L345" s="4">
        <v>35</v>
      </c>
      <c r="M345" s="4">
        <v>1</v>
      </c>
      <c r="N345" s="4" t="s">
        <v>3</v>
      </c>
      <c r="O345" s="4">
        <v>2</v>
      </c>
      <c r="P345" s="4"/>
      <c r="Q345" s="4"/>
      <c r="R345" s="4"/>
      <c r="S345" s="4"/>
      <c r="T345" s="4"/>
      <c r="U345" s="4"/>
      <c r="V345" s="4"/>
      <c r="W345" s="4">
        <v>225.87</v>
      </c>
      <c r="X345" s="4">
        <v>1</v>
      </c>
      <c r="Y345" s="4">
        <v>225.87</v>
      </c>
      <c r="Z345" s="4"/>
      <c r="AA345" s="4"/>
      <c r="AB345" s="4"/>
    </row>
    <row r="346" spans="1:206">
      <c r="A346" s="4">
        <v>50</v>
      </c>
      <c r="B346" s="4">
        <f>IF(Source!F346=0,1,0)</f>
        <v>0</v>
      </c>
      <c r="C346" s="4">
        <v>0</v>
      </c>
      <c r="D346" s="4">
        <v>2</v>
      </c>
      <c r="E346" s="4">
        <v>0</v>
      </c>
      <c r="F346" s="4">
        <f>ROUND(ROUND((F341-F342-F343-F344-F345),0),O346)</f>
        <v>1</v>
      </c>
      <c r="G346" s="4" t="s">
        <v>152</v>
      </c>
      <c r="H346" s="4" t="s">
        <v>153</v>
      </c>
      <c r="I346" s="4"/>
      <c r="J346" s="4"/>
      <c r="K346" s="4">
        <v>212</v>
      </c>
      <c r="L346" s="4">
        <v>36</v>
      </c>
      <c r="M346" s="4">
        <v>2</v>
      </c>
      <c r="N346" s="4" t="s">
        <v>3</v>
      </c>
      <c r="O346" s="4">
        <v>0</v>
      </c>
      <c r="P346" s="4"/>
      <c r="Q346" s="4"/>
      <c r="R346" s="4"/>
      <c r="S346" s="4"/>
      <c r="T346" s="4"/>
      <c r="U346" s="4"/>
      <c r="V346" s="4"/>
      <c r="W346" s="4">
        <v>1</v>
      </c>
      <c r="X346" s="4">
        <v>1</v>
      </c>
      <c r="Y346" s="4">
        <v>6309</v>
      </c>
      <c r="Z346" s="4"/>
      <c r="AA346" s="4"/>
      <c r="AB346" s="4"/>
    </row>
    <row r="348" spans="1:206">
      <c r="A348" s="2">
        <v>51</v>
      </c>
      <c r="B348" s="2">
        <f>B20</f>
        <v>1</v>
      </c>
      <c r="C348" s="2">
        <f>A20</f>
        <v>3</v>
      </c>
      <c r="D348" s="2">
        <f>ROW(A20)</f>
        <v>20</v>
      </c>
      <c r="E348" s="2"/>
      <c r="F348" s="2" t="str">
        <f>IF(F20&lt;&gt;"",F20,"")</f>
        <v/>
      </c>
      <c r="G348" s="2" t="str">
        <f>IF(G20&lt;&gt;"",G20,"")</f>
        <v>2КЛ-1 кВ от РУ-0,4 кВ ТП-477 ф.1.4, ф.7.1 -муфты М1, М2</v>
      </c>
      <c r="H348" s="2">
        <v>0</v>
      </c>
      <c r="I348" s="2"/>
      <c r="J348" s="2"/>
      <c r="K348" s="2"/>
      <c r="L348" s="2"/>
      <c r="M348" s="2"/>
      <c r="N348" s="2"/>
      <c r="O348" s="2">
        <f t="shared" ref="O348:T348" si="232">ROUND(O40+O99+O146+O212+O263+O309+AB348,2)</f>
        <v>404832.04</v>
      </c>
      <c r="P348" s="2">
        <f t="shared" si="232"/>
        <v>339565.82</v>
      </c>
      <c r="Q348" s="2">
        <f t="shared" si="232"/>
        <v>58130.52</v>
      </c>
      <c r="R348" s="2">
        <f t="shared" si="232"/>
        <v>1386.7</v>
      </c>
      <c r="S348" s="2">
        <f t="shared" si="232"/>
        <v>7135.7</v>
      </c>
      <c r="T348" s="2">
        <f t="shared" si="232"/>
        <v>0</v>
      </c>
      <c r="U348" s="2">
        <f>U40+U99+U146+U212+U263+U309+AH348</f>
        <v>809.20273140999996</v>
      </c>
      <c r="V348" s="2">
        <f>V40+V99+V146+V212+V263+V309+AI348</f>
        <v>132.88028832000001</v>
      </c>
      <c r="W348" s="2">
        <f>ROUND(W40+W99+W146+W212+W263+W309+AJ348,2)</f>
        <v>0</v>
      </c>
      <c r="X348" s="2">
        <f>ROUND(X40+X99+X146+X212+X263+X309+AK348,2)</f>
        <v>8489.65</v>
      </c>
      <c r="Y348" s="2">
        <f>ROUND(Y40+Y99+Y146+Y212+Y263+Y309+AL348,2)</f>
        <v>4595.1400000000003</v>
      </c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>
        <f t="shared" ref="AO348:BD348" si="233">ROUND(AO40+AO99+AO146+AO212+AO263+AO309+BX348,2)</f>
        <v>0</v>
      </c>
      <c r="AP348" s="2">
        <f t="shared" si="233"/>
        <v>0</v>
      </c>
      <c r="AQ348" s="2">
        <f t="shared" si="233"/>
        <v>0</v>
      </c>
      <c r="AR348" s="2">
        <f t="shared" si="233"/>
        <v>417916.83</v>
      </c>
      <c r="AS348" s="2">
        <f t="shared" si="233"/>
        <v>65486.51</v>
      </c>
      <c r="AT348" s="2">
        <f t="shared" si="233"/>
        <v>352204.45</v>
      </c>
      <c r="AU348" s="2">
        <f t="shared" si="233"/>
        <v>225.87</v>
      </c>
      <c r="AV348" s="2">
        <f t="shared" si="233"/>
        <v>339565.82</v>
      </c>
      <c r="AW348" s="2">
        <f t="shared" si="233"/>
        <v>339565.82</v>
      </c>
      <c r="AX348" s="2">
        <f t="shared" si="233"/>
        <v>0</v>
      </c>
      <c r="AY348" s="2">
        <f t="shared" si="233"/>
        <v>339565.82</v>
      </c>
      <c r="AZ348" s="2">
        <f t="shared" si="233"/>
        <v>0</v>
      </c>
      <c r="BA348" s="2">
        <f t="shared" si="233"/>
        <v>0</v>
      </c>
      <c r="BB348" s="2">
        <f t="shared" si="233"/>
        <v>0</v>
      </c>
      <c r="BC348" s="2">
        <f t="shared" si="233"/>
        <v>0</v>
      </c>
      <c r="BD348" s="2">
        <f t="shared" si="233"/>
        <v>1751.86</v>
      </c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>
        <v>0</v>
      </c>
    </row>
    <row r="350" spans="1:206">
      <c r="A350" s="4">
        <v>50</v>
      </c>
      <c r="B350" s="4">
        <v>0</v>
      </c>
      <c r="C350" s="4">
        <v>0</v>
      </c>
      <c r="D350" s="4">
        <v>1</v>
      </c>
      <c r="E350" s="4">
        <v>0</v>
      </c>
      <c r="F350" s="4">
        <f>ROUND(Source!O348,O350)</f>
        <v>404832.04</v>
      </c>
      <c r="G350" s="4" t="s">
        <v>84</v>
      </c>
      <c r="H350" s="4" t="s">
        <v>85</v>
      </c>
      <c r="I350" s="4"/>
      <c r="J350" s="4"/>
      <c r="K350" s="4">
        <v>201</v>
      </c>
      <c r="L350" s="4">
        <v>1</v>
      </c>
      <c r="M350" s="4">
        <v>3</v>
      </c>
      <c r="N350" s="4" t="s">
        <v>3</v>
      </c>
      <c r="O350" s="4">
        <v>2</v>
      </c>
      <c r="P350" s="4"/>
      <c r="Q350" s="4"/>
      <c r="R350" s="4"/>
      <c r="S350" s="4"/>
      <c r="T350" s="4"/>
      <c r="U350" s="4"/>
      <c r="V350" s="4"/>
      <c r="W350" s="4">
        <v>404832.04000000004</v>
      </c>
      <c r="X350" s="4">
        <v>1</v>
      </c>
      <c r="Y350" s="4">
        <v>2403967.39</v>
      </c>
      <c r="Z350" s="4"/>
      <c r="AA350" s="4"/>
      <c r="AB350" s="4"/>
    </row>
    <row r="351" spans="1:206">
      <c r="A351" s="4">
        <v>50</v>
      </c>
      <c r="B351" s="4">
        <v>0</v>
      </c>
      <c r="C351" s="4">
        <v>0</v>
      </c>
      <c r="D351" s="4">
        <v>1</v>
      </c>
      <c r="E351" s="4">
        <v>202</v>
      </c>
      <c r="F351" s="4">
        <f>ROUND(Source!P348,O351)</f>
        <v>339565.82</v>
      </c>
      <c r="G351" s="4" t="s">
        <v>86</v>
      </c>
      <c r="H351" s="4" t="s">
        <v>87</v>
      </c>
      <c r="I351" s="4"/>
      <c r="J351" s="4"/>
      <c r="K351" s="4">
        <v>202</v>
      </c>
      <c r="L351" s="4">
        <v>2</v>
      </c>
      <c r="M351" s="4">
        <v>3</v>
      </c>
      <c r="N351" s="4" t="s">
        <v>3</v>
      </c>
      <c r="O351" s="4">
        <v>2</v>
      </c>
      <c r="P351" s="4"/>
      <c r="Q351" s="4"/>
      <c r="R351" s="4"/>
      <c r="S351" s="4"/>
      <c r="T351" s="4"/>
      <c r="U351" s="4"/>
      <c r="V351" s="4"/>
      <c r="W351" s="4">
        <v>339565.82</v>
      </c>
      <c r="X351" s="4">
        <v>1</v>
      </c>
      <c r="Y351" s="4">
        <v>0</v>
      </c>
      <c r="Z351" s="4"/>
      <c r="AA351" s="4"/>
      <c r="AB351" s="4"/>
    </row>
    <row r="352" spans="1:206">
      <c r="A352" s="4">
        <v>50</v>
      </c>
      <c r="B352" s="4">
        <v>0</v>
      </c>
      <c r="C352" s="4">
        <v>0</v>
      </c>
      <c r="D352" s="4">
        <v>1</v>
      </c>
      <c r="E352" s="4">
        <v>222</v>
      </c>
      <c r="F352" s="4">
        <f>ROUND(Source!AO348,O352)</f>
        <v>0</v>
      </c>
      <c r="G352" s="4" t="s">
        <v>88</v>
      </c>
      <c r="H352" s="4" t="s">
        <v>89</v>
      </c>
      <c r="I352" s="4"/>
      <c r="J352" s="4"/>
      <c r="K352" s="4">
        <v>222</v>
      </c>
      <c r="L352" s="4">
        <v>3</v>
      </c>
      <c r="M352" s="4">
        <v>3</v>
      </c>
      <c r="N352" s="4" t="s">
        <v>3</v>
      </c>
      <c r="O352" s="4">
        <v>2</v>
      </c>
      <c r="P352" s="4"/>
      <c r="Q352" s="4"/>
      <c r="R352" s="4"/>
      <c r="S352" s="4"/>
      <c r="T352" s="4"/>
      <c r="U352" s="4"/>
      <c r="V352" s="4"/>
      <c r="W352" s="4">
        <v>0</v>
      </c>
      <c r="X352" s="4">
        <v>1</v>
      </c>
      <c r="Y352" s="4">
        <v>0</v>
      </c>
      <c r="Z352" s="4"/>
      <c r="AA352" s="4"/>
      <c r="AB352" s="4"/>
    </row>
    <row r="353" spans="1:28">
      <c r="A353" s="4">
        <v>50</v>
      </c>
      <c r="B353" s="4">
        <v>0</v>
      </c>
      <c r="C353" s="4">
        <v>0</v>
      </c>
      <c r="D353" s="4">
        <v>1</v>
      </c>
      <c r="E353" s="4">
        <v>225</v>
      </c>
      <c r="F353" s="4">
        <f>ROUND(Source!AV348,O353)</f>
        <v>339565.82</v>
      </c>
      <c r="G353" s="4" t="s">
        <v>90</v>
      </c>
      <c r="H353" s="4" t="s">
        <v>91</v>
      </c>
      <c r="I353" s="4"/>
      <c r="J353" s="4"/>
      <c r="K353" s="4">
        <v>225</v>
      </c>
      <c r="L353" s="4">
        <v>4</v>
      </c>
      <c r="M353" s="4">
        <v>3</v>
      </c>
      <c r="N353" s="4" t="s">
        <v>3</v>
      </c>
      <c r="O353" s="4">
        <v>2</v>
      </c>
      <c r="P353" s="4"/>
      <c r="Q353" s="4"/>
      <c r="R353" s="4"/>
      <c r="S353" s="4"/>
      <c r="T353" s="4"/>
      <c r="U353" s="4"/>
      <c r="V353" s="4"/>
      <c r="W353" s="4">
        <v>339565.82</v>
      </c>
      <c r="X353" s="4">
        <v>1</v>
      </c>
      <c r="Y353" s="4">
        <v>0</v>
      </c>
      <c r="Z353" s="4"/>
      <c r="AA353" s="4"/>
      <c r="AB353" s="4"/>
    </row>
    <row r="354" spans="1:28">
      <c r="A354" s="4">
        <v>50</v>
      </c>
      <c r="B354" s="4">
        <v>0</v>
      </c>
      <c r="C354" s="4">
        <v>0</v>
      </c>
      <c r="D354" s="4">
        <v>1</v>
      </c>
      <c r="E354" s="4">
        <v>226</v>
      </c>
      <c r="F354" s="4">
        <f>ROUND(Source!AW348,O354)</f>
        <v>339565.82</v>
      </c>
      <c r="G354" s="4" t="s">
        <v>92</v>
      </c>
      <c r="H354" s="4" t="s">
        <v>93</v>
      </c>
      <c r="I354" s="4"/>
      <c r="J354" s="4"/>
      <c r="K354" s="4">
        <v>226</v>
      </c>
      <c r="L354" s="4">
        <v>5</v>
      </c>
      <c r="M354" s="4">
        <v>3</v>
      </c>
      <c r="N354" s="4" t="s">
        <v>3</v>
      </c>
      <c r="O354" s="4">
        <v>2</v>
      </c>
      <c r="P354" s="4"/>
      <c r="Q354" s="4"/>
      <c r="R354" s="4"/>
      <c r="S354" s="4"/>
      <c r="T354" s="4"/>
      <c r="U354" s="4"/>
      <c r="V354" s="4"/>
      <c r="W354" s="4">
        <v>339565.82</v>
      </c>
      <c r="X354" s="4">
        <v>1</v>
      </c>
      <c r="Y354" s="4">
        <v>1748763.97</v>
      </c>
      <c r="Z354" s="4"/>
      <c r="AA354" s="4"/>
      <c r="AB354" s="4"/>
    </row>
    <row r="355" spans="1:28">
      <c r="A355" s="4">
        <v>50</v>
      </c>
      <c r="B355" s="4">
        <v>0</v>
      </c>
      <c r="C355" s="4">
        <v>0</v>
      </c>
      <c r="D355" s="4">
        <v>1</v>
      </c>
      <c r="E355" s="4">
        <v>227</v>
      </c>
      <c r="F355" s="4">
        <f>ROUND(Source!AX348,O355)</f>
        <v>0</v>
      </c>
      <c r="G355" s="4" t="s">
        <v>94</v>
      </c>
      <c r="H355" s="4" t="s">
        <v>95</v>
      </c>
      <c r="I355" s="4"/>
      <c r="J355" s="4"/>
      <c r="K355" s="4">
        <v>227</v>
      </c>
      <c r="L355" s="4">
        <v>6</v>
      </c>
      <c r="M355" s="4">
        <v>3</v>
      </c>
      <c r="N355" s="4" t="s">
        <v>3</v>
      </c>
      <c r="O355" s="4">
        <v>2</v>
      </c>
      <c r="P355" s="4"/>
      <c r="Q355" s="4"/>
      <c r="R355" s="4"/>
      <c r="S355" s="4"/>
      <c r="T355" s="4"/>
      <c r="U355" s="4"/>
      <c r="V355" s="4"/>
      <c r="W355" s="4">
        <v>0</v>
      </c>
      <c r="X355" s="4">
        <v>1</v>
      </c>
      <c r="Y355" s="4">
        <v>0</v>
      </c>
      <c r="Z355" s="4"/>
      <c r="AA355" s="4"/>
      <c r="AB355" s="4"/>
    </row>
    <row r="356" spans="1:28">
      <c r="A356" s="4">
        <v>50</v>
      </c>
      <c r="B356" s="4">
        <v>0</v>
      </c>
      <c r="C356" s="4">
        <v>0</v>
      </c>
      <c r="D356" s="4">
        <v>1</v>
      </c>
      <c r="E356" s="4">
        <v>228</v>
      </c>
      <c r="F356" s="4">
        <f>ROUND(Source!AY348,O356)</f>
        <v>339565.82</v>
      </c>
      <c r="G356" s="4" t="s">
        <v>96</v>
      </c>
      <c r="H356" s="4" t="s">
        <v>97</v>
      </c>
      <c r="I356" s="4"/>
      <c r="J356" s="4"/>
      <c r="K356" s="4">
        <v>228</v>
      </c>
      <c r="L356" s="4">
        <v>7</v>
      </c>
      <c r="M356" s="4">
        <v>3</v>
      </c>
      <c r="N356" s="4" t="s">
        <v>3</v>
      </c>
      <c r="O356" s="4">
        <v>2</v>
      </c>
      <c r="P356" s="4"/>
      <c r="Q356" s="4"/>
      <c r="R356" s="4"/>
      <c r="S356" s="4"/>
      <c r="T356" s="4"/>
      <c r="U356" s="4"/>
      <c r="V356" s="4"/>
      <c r="W356" s="4">
        <v>339565.82</v>
      </c>
      <c r="X356" s="4">
        <v>1</v>
      </c>
      <c r="Y356" s="4">
        <v>1748763.97</v>
      </c>
      <c r="Z356" s="4"/>
      <c r="AA356" s="4"/>
      <c r="AB356" s="4"/>
    </row>
    <row r="357" spans="1:28">
      <c r="A357" s="4">
        <v>50</v>
      </c>
      <c r="B357" s="4">
        <v>0</v>
      </c>
      <c r="C357" s="4">
        <v>0</v>
      </c>
      <c r="D357" s="4">
        <v>1</v>
      </c>
      <c r="E357" s="4">
        <v>216</v>
      </c>
      <c r="F357" s="4">
        <f>ROUND(Source!AP348,O357)</f>
        <v>0</v>
      </c>
      <c r="G357" s="4" t="s">
        <v>98</v>
      </c>
      <c r="H357" s="4" t="s">
        <v>99</v>
      </c>
      <c r="I357" s="4"/>
      <c r="J357" s="4"/>
      <c r="K357" s="4">
        <v>216</v>
      </c>
      <c r="L357" s="4">
        <v>8</v>
      </c>
      <c r="M357" s="4">
        <v>3</v>
      </c>
      <c r="N357" s="4" t="s">
        <v>3</v>
      </c>
      <c r="O357" s="4">
        <v>2</v>
      </c>
      <c r="P357" s="4"/>
      <c r="Q357" s="4"/>
      <c r="R357" s="4"/>
      <c r="S357" s="4"/>
      <c r="T357" s="4"/>
      <c r="U357" s="4"/>
      <c r="V357" s="4"/>
      <c r="W357" s="4">
        <v>0</v>
      </c>
      <c r="X357" s="4">
        <v>1</v>
      </c>
      <c r="Y357" s="4">
        <v>0</v>
      </c>
      <c r="Z357" s="4"/>
      <c r="AA357" s="4"/>
      <c r="AB357" s="4"/>
    </row>
    <row r="358" spans="1:28">
      <c r="A358" s="4">
        <v>50</v>
      </c>
      <c r="B358" s="4">
        <v>0</v>
      </c>
      <c r="C358" s="4">
        <v>0</v>
      </c>
      <c r="D358" s="4">
        <v>1</v>
      </c>
      <c r="E358" s="4">
        <v>223</v>
      </c>
      <c r="F358" s="4">
        <f>ROUND(Source!AQ348,O358)</f>
        <v>0</v>
      </c>
      <c r="G358" s="4" t="s">
        <v>100</v>
      </c>
      <c r="H358" s="4" t="s">
        <v>101</v>
      </c>
      <c r="I358" s="4"/>
      <c r="J358" s="4"/>
      <c r="K358" s="4">
        <v>223</v>
      </c>
      <c r="L358" s="4">
        <v>9</v>
      </c>
      <c r="M358" s="4">
        <v>3</v>
      </c>
      <c r="N358" s="4" t="s">
        <v>3</v>
      </c>
      <c r="O358" s="4">
        <v>2</v>
      </c>
      <c r="P358" s="4"/>
      <c r="Q358" s="4"/>
      <c r="R358" s="4"/>
      <c r="S358" s="4"/>
      <c r="T358" s="4"/>
      <c r="U358" s="4"/>
      <c r="V358" s="4"/>
      <c r="W358" s="4">
        <v>0</v>
      </c>
      <c r="X358" s="4">
        <v>1</v>
      </c>
      <c r="Y358" s="4">
        <v>0</v>
      </c>
      <c r="Z358" s="4"/>
      <c r="AA358" s="4"/>
      <c r="AB358" s="4"/>
    </row>
    <row r="359" spans="1:28">
      <c r="A359" s="4">
        <v>50</v>
      </c>
      <c r="B359" s="4">
        <v>0</v>
      </c>
      <c r="C359" s="4">
        <v>0</v>
      </c>
      <c r="D359" s="4">
        <v>1</v>
      </c>
      <c r="E359" s="4">
        <v>229</v>
      </c>
      <c r="F359" s="4">
        <f>ROUND(Source!AZ348,O359)</f>
        <v>0</v>
      </c>
      <c r="G359" s="4" t="s">
        <v>102</v>
      </c>
      <c r="H359" s="4" t="s">
        <v>103</v>
      </c>
      <c r="I359" s="4"/>
      <c r="J359" s="4"/>
      <c r="K359" s="4">
        <v>229</v>
      </c>
      <c r="L359" s="4">
        <v>10</v>
      </c>
      <c r="M359" s="4">
        <v>3</v>
      </c>
      <c r="N359" s="4" t="s">
        <v>3</v>
      </c>
      <c r="O359" s="4">
        <v>2</v>
      </c>
      <c r="P359" s="4"/>
      <c r="Q359" s="4"/>
      <c r="R359" s="4"/>
      <c r="S359" s="4"/>
      <c r="T359" s="4"/>
      <c r="U359" s="4"/>
      <c r="V359" s="4"/>
      <c r="W359" s="4">
        <v>0</v>
      </c>
      <c r="X359" s="4">
        <v>1</v>
      </c>
      <c r="Y359" s="4">
        <v>0</v>
      </c>
      <c r="Z359" s="4"/>
      <c r="AA359" s="4"/>
      <c r="AB359" s="4"/>
    </row>
    <row r="360" spans="1:28">
      <c r="A360" s="4">
        <v>50</v>
      </c>
      <c r="B360" s="4">
        <v>0</v>
      </c>
      <c r="C360" s="4">
        <v>0</v>
      </c>
      <c r="D360" s="4">
        <v>1</v>
      </c>
      <c r="E360" s="4">
        <v>203</v>
      </c>
      <c r="F360" s="4">
        <f>ROUND(Source!Q348,O360)</f>
        <v>58130.52</v>
      </c>
      <c r="G360" s="4" t="s">
        <v>104</v>
      </c>
      <c r="H360" s="4" t="s">
        <v>105</v>
      </c>
      <c r="I360" s="4"/>
      <c r="J360" s="4"/>
      <c r="K360" s="4">
        <v>203</v>
      </c>
      <c r="L360" s="4">
        <v>11</v>
      </c>
      <c r="M360" s="4">
        <v>3</v>
      </c>
      <c r="N360" s="4" t="s">
        <v>3</v>
      </c>
      <c r="O360" s="4">
        <v>2</v>
      </c>
      <c r="P360" s="4"/>
      <c r="Q360" s="4"/>
      <c r="R360" s="4"/>
      <c r="S360" s="4"/>
      <c r="T360" s="4"/>
      <c r="U360" s="4"/>
      <c r="V360" s="4"/>
      <c r="W360" s="4">
        <v>56378.66</v>
      </c>
      <c r="X360" s="4">
        <v>1</v>
      </c>
      <c r="Y360" s="4">
        <v>435243.26</v>
      </c>
      <c r="Z360" s="4"/>
      <c r="AA360" s="4"/>
      <c r="AB360" s="4"/>
    </row>
    <row r="361" spans="1:28">
      <c r="A361" s="4">
        <v>50</v>
      </c>
      <c r="B361" s="4">
        <v>0</v>
      </c>
      <c r="C361" s="4">
        <v>0</v>
      </c>
      <c r="D361" s="4">
        <v>1</v>
      </c>
      <c r="E361" s="4">
        <v>231</v>
      </c>
      <c r="F361" s="4">
        <f>ROUND(Source!BB348,O361)</f>
        <v>0</v>
      </c>
      <c r="G361" s="4" t="s">
        <v>106</v>
      </c>
      <c r="H361" s="4" t="s">
        <v>107</v>
      </c>
      <c r="I361" s="4"/>
      <c r="J361" s="4"/>
      <c r="K361" s="4">
        <v>231</v>
      </c>
      <c r="L361" s="4">
        <v>12</v>
      </c>
      <c r="M361" s="4">
        <v>3</v>
      </c>
      <c r="N361" s="4" t="s">
        <v>3</v>
      </c>
      <c r="O361" s="4">
        <v>2</v>
      </c>
      <c r="P361" s="4"/>
      <c r="Q361" s="4"/>
      <c r="R361" s="4"/>
      <c r="S361" s="4"/>
      <c r="T361" s="4"/>
      <c r="U361" s="4"/>
      <c r="V361" s="4"/>
      <c r="W361" s="4">
        <v>0</v>
      </c>
      <c r="X361" s="4">
        <v>1</v>
      </c>
      <c r="Y361" s="4">
        <v>0</v>
      </c>
      <c r="Z361" s="4"/>
      <c r="AA361" s="4"/>
      <c r="AB361" s="4"/>
    </row>
    <row r="362" spans="1:28">
      <c r="A362" s="4">
        <v>50</v>
      </c>
      <c r="B362" s="4">
        <v>0</v>
      </c>
      <c r="C362" s="4">
        <v>0</v>
      </c>
      <c r="D362" s="4">
        <v>1</v>
      </c>
      <c r="E362" s="4">
        <v>204</v>
      </c>
      <c r="F362" s="4">
        <f>ROUND(Source!R348,O362)</f>
        <v>1386.7</v>
      </c>
      <c r="G362" s="4" t="s">
        <v>108</v>
      </c>
      <c r="H362" s="4" t="s">
        <v>109</v>
      </c>
      <c r="I362" s="4"/>
      <c r="J362" s="4"/>
      <c r="K362" s="4">
        <v>204</v>
      </c>
      <c r="L362" s="4">
        <v>13</v>
      </c>
      <c r="M362" s="4">
        <v>3</v>
      </c>
      <c r="N362" s="4" t="s">
        <v>3</v>
      </c>
      <c r="O362" s="4">
        <v>2</v>
      </c>
      <c r="P362" s="4"/>
      <c r="Q362" s="4"/>
      <c r="R362" s="4"/>
      <c r="S362" s="4"/>
      <c r="T362" s="4"/>
      <c r="U362" s="4"/>
      <c r="V362" s="4"/>
      <c r="W362" s="4">
        <v>1386.6999999999998</v>
      </c>
      <c r="X362" s="4">
        <v>1</v>
      </c>
      <c r="Y362" s="4">
        <v>40117.22</v>
      </c>
      <c r="Z362" s="4"/>
      <c r="AA362" s="4"/>
      <c r="AB362" s="4"/>
    </row>
    <row r="363" spans="1:28">
      <c r="A363" s="4">
        <v>50</v>
      </c>
      <c r="B363" s="4">
        <v>0</v>
      </c>
      <c r="C363" s="4">
        <v>0</v>
      </c>
      <c r="D363" s="4">
        <v>1</v>
      </c>
      <c r="E363" s="4">
        <v>205</v>
      </c>
      <c r="F363" s="4">
        <f>ROUND(Source!S348,O363)</f>
        <v>7135.7</v>
      </c>
      <c r="G363" s="4" t="s">
        <v>110</v>
      </c>
      <c r="H363" s="4" t="s">
        <v>111</v>
      </c>
      <c r="I363" s="4"/>
      <c r="J363" s="4"/>
      <c r="K363" s="4">
        <v>205</v>
      </c>
      <c r="L363" s="4">
        <v>14</v>
      </c>
      <c r="M363" s="4">
        <v>3</v>
      </c>
      <c r="N363" s="4" t="s">
        <v>3</v>
      </c>
      <c r="O363" s="4">
        <v>2</v>
      </c>
      <c r="P363" s="4"/>
      <c r="Q363" s="4"/>
      <c r="R363" s="4"/>
      <c r="S363" s="4"/>
      <c r="T363" s="4"/>
      <c r="U363" s="4"/>
      <c r="V363" s="4"/>
      <c r="W363" s="4">
        <v>7135.7000000000007</v>
      </c>
      <c r="X363" s="4">
        <v>1</v>
      </c>
      <c r="Y363" s="4">
        <v>206435.8</v>
      </c>
      <c r="Z363" s="4"/>
      <c r="AA363" s="4"/>
      <c r="AB363" s="4"/>
    </row>
    <row r="364" spans="1:28">
      <c r="A364" s="4">
        <v>50</v>
      </c>
      <c r="B364" s="4">
        <v>0</v>
      </c>
      <c r="C364" s="4">
        <v>0</v>
      </c>
      <c r="D364" s="4">
        <v>1</v>
      </c>
      <c r="E364" s="4">
        <v>232</v>
      </c>
      <c r="F364" s="4">
        <f>ROUND(Source!BC348,O364)</f>
        <v>0</v>
      </c>
      <c r="G364" s="4" t="s">
        <v>112</v>
      </c>
      <c r="H364" s="4" t="s">
        <v>113</v>
      </c>
      <c r="I364" s="4"/>
      <c r="J364" s="4"/>
      <c r="K364" s="4">
        <v>232</v>
      </c>
      <c r="L364" s="4">
        <v>15</v>
      </c>
      <c r="M364" s="4">
        <v>3</v>
      </c>
      <c r="N364" s="4" t="s">
        <v>3</v>
      </c>
      <c r="O364" s="4">
        <v>2</v>
      </c>
      <c r="P364" s="4"/>
      <c r="Q364" s="4"/>
      <c r="R364" s="4"/>
      <c r="S364" s="4"/>
      <c r="T364" s="4"/>
      <c r="U364" s="4"/>
      <c r="V364" s="4"/>
      <c r="W364" s="4">
        <v>0</v>
      </c>
      <c r="X364" s="4">
        <v>1</v>
      </c>
      <c r="Y364" s="4">
        <v>0</v>
      </c>
      <c r="Z364" s="4"/>
      <c r="AA364" s="4"/>
      <c r="AB364" s="4"/>
    </row>
    <row r="365" spans="1:28">
      <c r="A365" s="4">
        <v>50</v>
      </c>
      <c r="B365" s="4">
        <v>0</v>
      </c>
      <c r="C365" s="4">
        <v>0</v>
      </c>
      <c r="D365" s="4">
        <v>1</v>
      </c>
      <c r="E365" s="4">
        <v>214</v>
      </c>
      <c r="F365" s="4">
        <f>ROUND(Source!AS348,O365)</f>
        <v>65486.51</v>
      </c>
      <c r="G365" s="4" t="s">
        <v>114</v>
      </c>
      <c r="H365" s="4" t="s">
        <v>115</v>
      </c>
      <c r="I365" s="4"/>
      <c r="J365" s="4"/>
      <c r="K365" s="4">
        <v>214</v>
      </c>
      <c r="L365" s="4">
        <v>16</v>
      </c>
      <c r="M365" s="4">
        <v>3</v>
      </c>
      <c r="N365" s="4" t="s">
        <v>3</v>
      </c>
      <c r="O365" s="4">
        <v>2</v>
      </c>
      <c r="P365" s="4"/>
      <c r="Q365" s="4"/>
      <c r="R365" s="4"/>
      <c r="S365" s="4"/>
      <c r="T365" s="4"/>
      <c r="U365" s="4"/>
      <c r="V365" s="4"/>
      <c r="W365" s="4">
        <v>65486.51</v>
      </c>
      <c r="X365" s="4">
        <v>1</v>
      </c>
      <c r="Y365" s="4">
        <v>650630.77999999991</v>
      </c>
      <c r="Z365" s="4"/>
      <c r="AA365" s="4"/>
      <c r="AB365" s="4"/>
    </row>
    <row r="366" spans="1:28">
      <c r="A366" s="4">
        <v>50</v>
      </c>
      <c r="B366" s="4">
        <v>0</v>
      </c>
      <c r="C366" s="4">
        <v>0</v>
      </c>
      <c r="D366" s="4">
        <v>1</v>
      </c>
      <c r="E366" s="4">
        <v>215</v>
      </c>
      <c r="F366" s="4">
        <f>ROUND(Source!AT348,O366)</f>
        <v>352204.45</v>
      </c>
      <c r="G366" s="4" t="s">
        <v>116</v>
      </c>
      <c r="H366" s="4" t="s">
        <v>117</v>
      </c>
      <c r="I366" s="4"/>
      <c r="J366" s="4"/>
      <c r="K366" s="4">
        <v>215</v>
      </c>
      <c r="L366" s="4">
        <v>17</v>
      </c>
      <c r="M366" s="4">
        <v>3</v>
      </c>
      <c r="N366" s="4" t="s">
        <v>3</v>
      </c>
      <c r="O366" s="4">
        <v>2</v>
      </c>
      <c r="P366" s="4"/>
      <c r="Q366" s="4"/>
      <c r="R366" s="4"/>
      <c r="S366" s="4"/>
      <c r="T366" s="4"/>
      <c r="U366" s="4"/>
      <c r="V366" s="4"/>
      <c r="W366" s="4">
        <v>352204.45</v>
      </c>
      <c r="X366" s="4">
        <v>1</v>
      </c>
      <c r="Y366" s="4">
        <v>2125344.46</v>
      </c>
      <c r="Z366" s="4"/>
      <c r="AA366" s="4"/>
      <c r="AB366" s="4"/>
    </row>
    <row r="367" spans="1:28">
      <c r="A367" s="4">
        <v>50</v>
      </c>
      <c r="B367" s="4">
        <v>0</v>
      </c>
      <c r="C367" s="4">
        <v>0</v>
      </c>
      <c r="D367" s="4">
        <v>1</v>
      </c>
      <c r="E367" s="4">
        <v>217</v>
      </c>
      <c r="F367" s="4">
        <f>ROUND(Source!AU348,O367)</f>
        <v>225.87</v>
      </c>
      <c r="G367" s="4" t="s">
        <v>118</v>
      </c>
      <c r="H367" s="4" t="s">
        <v>119</v>
      </c>
      <c r="I367" s="4"/>
      <c r="J367" s="4"/>
      <c r="K367" s="4">
        <v>217</v>
      </c>
      <c r="L367" s="4">
        <v>18</v>
      </c>
      <c r="M367" s="4">
        <v>3</v>
      </c>
      <c r="N367" s="4" t="s">
        <v>3</v>
      </c>
      <c r="O367" s="4">
        <v>2</v>
      </c>
      <c r="P367" s="4"/>
      <c r="Q367" s="4"/>
      <c r="R367" s="4"/>
      <c r="S367" s="4"/>
      <c r="T367" s="4"/>
      <c r="U367" s="4"/>
      <c r="V367" s="4"/>
      <c r="W367" s="4">
        <v>225.87</v>
      </c>
      <c r="X367" s="4">
        <v>1</v>
      </c>
      <c r="Y367" s="4">
        <v>6534.59</v>
      </c>
      <c r="Z367" s="4"/>
      <c r="AA367" s="4"/>
      <c r="AB367" s="4"/>
    </row>
    <row r="368" spans="1:28">
      <c r="A368" s="4">
        <v>50</v>
      </c>
      <c r="B368" s="4">
        <v>0</v>
      </c>
      <c r="C368" s="4">
        <v>0</v>
      </c>
      <c r="D368" s="4">
        <v>1</v>
      </c>
      <c r="E368" s="4">
        <v>230</v>
      </c>
      <c r="F368" s="4">
        <f>ROUND(Source!BA348,O368)</f>
        <v>0</v>
      </c>
      <c r="G368" s="4" t="s">
        <v>120</v>
      </c>
      <c r="H368" s="4" t="s">
        <v>121</v>
      </c>
      <c r="I368" s="4"/>
      <c r="J368" s="4"/>
      <c r="K368" s="4">
        <v>230</v>
      </c>
      <c r="L368" s="4">
        <v>19</v>
      </c>
      <c r="M368" s="4">
        <v>3</v>
      </c>
      <c r="N368" s="4" t="s">
        <v>3</v>
      </c>
      <c r="O368" s="4">
        <v>2</v>
      </c>
      <c r="P368" s="4"/>
      <c r="Q368" s="4"/>
      <c r="R368" s="4"/>
      <c r="S368" s="4"/>
      <c r="T368" s="4"/>
      <c r="U368" s="4"/>
      <c r="V368" s="4"/>
      <c r="W368" s="4">
        <v>0</v>
      </c>
      <c r="X368" s="4">
        <v>1</v>
      </c>
      <c r="Y368" s="4">
        <v>0</v>
      </c>
      <c r="Z368" s="4"/>
      <c r="AA368" s="4"/>
      <c r="AB368" s="4"/>
    </row>
    <row r="369" spans="1:28">
      <c r="A369" s="4">
        <v>50</v>
      </c>
      <c r="B369" s="4">
        <v>0</v>
      </c>
      <c r="C369" s="4">
        <v>0</v>
      </c>
      <c r="D369" s="4">
        <v>1</v>
      </c>
      <c r="E369" s="4">
        <v>206</v>
      </c>
      <c r="F369" s="4">
        <f>ROUND(Source!T348,O369)</f>
        <v>0</v>
      </c>
      <c r="G369" s="4" t="s">
        <v>122</v>
      </c>
      <c r="H369" s="4" t="s">
        <v>123</v>
      </c>
      <c r="I369" s="4"/>
      <c r="J369" s="4"/>
      <c r="K369" s="4">
        <v>206</v>
      </c>
      <c r="L369" s="4">
        <v>20</v>
      </c>
      <c r="M369" s="4">
        <v>3</v>
      </c>
      <c r="N369" s="4" t="s">
        <v>3</v>
      </c>
      <c r="O369" s="4">
        <v>2</v>
      </c>
      <c r="P369" s="4"/>
      <c r="Q369" s="4"/>
      <c r="R369" s="4"/>
      <c r="S369" s="4"/>
      <c r="T369" s="4"/>
      <c r="U369" s="4"/>
      <c r="V369" s="4"/>
      <c r="W369" s="4">
        <v>0</v>
      </c>
      <c r="X369" s="4">
        <v>1</v>
      </c>
      <c r="Y369" s="4">
        <v>0</v>
      </c>
      <c r="Z369" s="4"/>
      <c r="AA369" s="4"/>
      <c r="AB369" s="4"/>
    </row>
    <row r="370" spans="1:28">
      <c r="A370" s="4">
        <v>50</v>
      </c>
      <c r="B370" s="4">
        <v>0</v>
      </c>
      <c r="C370" s="4">
        <v>0</v>
      </c>
      <c r="D370" s="4">
        <v>1</v>
      </c>
      <c r="E370" s="4">
        <v>207</v>
      </c>
      <c r="F370" s="4">
        <f>Source!U348</f>
        <v>809.20273140999996</v>
      </c>
      <c r="G370" s="4" t="s">
        <v>124</v>
      </c>
      <c r="H370" s="4" t="s">
        <v>125</v>
      </c>
      <c r="I370" s="4"/>
      <c r="J370" s="4"/>
      <c r="K370" s="4">
        <v>207</v>
      </c>
      <c r="L370" s="4">
        <v>21</v>
      </c>
      <c r="M370" s="4">
        <v>3</v>
      </c>
      <c r="N370" s="4" t="s">
        <v>3</v>
      </c>
      <c r="O370" s="4">
        <v>-1</v>
      </c>
      <c r="P370" s="4"/>
      <c r="Q370" s="4"/>
      <c r="R370" s="4"/>
      <c r="S370" s="4"/>
      <c r="T370" s="4"/>
      <c r="U370" s="4"/>
      <c r="V370" s="4"/>
      <c r="W370" s="4">
        <v>809.20273139999995</v>
      </c>
      <c r="X370" s="4">
        <v>1</v>
      </c>
      <c r="Y370" s="4">
        <v>809.20273139999995</v>
      </c>
      <c r="Z370" s="4"/>
      <c r="AA370" s="4"/>
      <c r="AB370" s="4"/>
    </row>
    <row r="371" spans="1:28">
      <c r="A371" s="4">
        <v>50</v>
      </c>
      <c r="B371" s="4">
        <v>0</v>
      </c>
      <c r="C371" s="4">
        <v>0</v>
      </c>
      <c r="D371" s="4">
        <v>1</v>
      </c>
      <c r="E371" s="4">
        <v>208</v>
      </c>
      <c r="F371" s="4">
        <f>Source!V348</f>
        <v>132.88028832000001</v>
      </c>
      <c r="G371" s="4" t="s">
        <v>126</v>
      </c>
      <c r="H371" s="4" t="s">
        <v>127</v>
      </c>
      <c r="I371" s="4"/>
      <c r="J371" s="4"/>
      <c r="K371" s="4">
        <v>208</v>
      </c>
      <c r="L371" s="4">
        <v>22</v>
      </c>
      <c r="M371" s="4">
        <v>3</v>
      </c>
      <c r="N371" s="4" t="s">
        <v>3</v>
      </c>
      <c r="O371" s="4">
        <v>-1</v>
      </c>
      <c r="P371" s="4"/>
      <c r="Q371" s="4"/>
      <c r="R371" s="4"/>
      <c r="S371" s="4"/>
      <c r="T371" s="4"/>
      <c r="U371" s="4"/>
      <c r="V371" s="4"/>
      <c r="W371" s="4">
        <v>132.88028829999999</v>
      </c>
      <c r="X371" s="4">
        <v>1</v>
      </c>
      <c r="Y371" s="4">
        <v>132.88028829999999</v>
      </c>
      <c r="Z371" s="4"/>
      <c r="AA371" s="4"/>
      <c r="AB371" s="4"/>
    </row>
    <row r="372" spans="1:28">
      <c r="A372" s="4">
        <v>50</v>
      </c>
      <c r="B372" s="4">
        <v>0</v>
      </c>
      <c r="C372" s="4">
        <v>0</v>
      </c>
      <c r="D372" s="4">
        <v>1</v>
      </c>
      <c r="E372" s="4">
        <v>209</v>
      </c>
      <c r="F372" s="4">
        <f>ROUND(Source!W348,O372)</f>
        <v>0</v>
      </c>
      <c r="G372" s="4" t="s">
        <v>128</v>
      </c>
      <c r="H372" s="4" t="s">
        <v>129</v>
      </c>
      <c r="I372" s="4"/>
      <c r="J372" s="4"/>
      <c r="K372" s="4">
        <v>209</v>
      </c>
      <c r="L372" s="4">
        <v>23</v>
      </c>
      <c r="M372" s="4">
        <v>3</v>
      </c>
      <c r="N372" s="4" t="s">
        <v>3</v>
      </c>
      <c r="O372" s="4">
        <v>2</v>
      </c>
      <c r="P372" s="4"/>
      <c r="Q372" s="4"/>
      <c r="R372" s="4"/>
      <c r="S372" s="4"/>
      <c r="T372" s="4"/>
      <c r="U372" s="4"/>
      <c r="V372" s="4"/>
      <c r="W372" s="4">
        <v>0</v>
      </c>
      <c r="X372" s="4">
        <v>1</v>
      </c>
      <c r="Y372" s="4">
        <v>0</v>
      </c>
      <c r="Z372" s="4"/>
      <c r="AA372" s="4"/>
      <c r="AB372" s="4"/>
    </row>
    <row r="373" spans="1:28">
      <c r="A373" s="4">
        <v>50</v>
      </c>
      <c r="B373" s="4">
        <v>0</v>
      </c>
      <c r="C373" s="4">
        <v>0</v>
      </c>
      <c r="D373" s="4">
        <v>1</v>
      </c>
      <c r="E373" s="4">
        <v>233</v>
      </c>
      <c r="F373" s="4">
        <f>ROUND(Source!BD348,O373)</f>
        <v>1751.86</v>
      </c>
      <c r="G373" s="4" t="s">
        <v>130</v>
      </c>
      <c r="H373" s="4" t="s">
        <v>131</v>
      </c>
      <c r="I373" s="4"/>
      <c r="J373" s="4"/>
      <c r="K373" s="4">
        <v>233</v>
      </c>
      <c r="L373" s="4">
        <v>24</v>
      </c>
      <c r="M373" s="4">
        <v>3</v>
      </c>
      <c r="N373" s="4" t="s">
        <v>3</v>
      </c>
      <c r="O373" s="4">
        <v>2</v>
      </c>
      <c r="P373" s="4"/>
      <c r="Q373" s="4"/>
      <c r="R373" s="4"/>
      <c r="S373" s="4"/>
      <c r="T373" s="4"/>
      <c r="U373" s="4"/>
      <c r="V373" s="4"/>
      <c r="W373" s="4">
        <v>1751.86</v>
      </c>
      <c r="X373" s="4">
        <v>1</v>
      </c>
      <c r="Y373" s="4">
        <v>13524.36</v>
      </c>
      <c r="Z373" s="4"/>
      <c r="AA373" s="4"/>
      <c r="AB373" s="4"/>
    </row>
    <row r="374" spans="1:28">
      <c r="A374" s="4">
        <v>50</v>
      </c>
      <c r="B374" s="4">
        <v>0</v>
      </c>
      <c r="C374" s="4">
        <v>0</v>
      </c>
      <c r="D374" s="4">
        <v>1</v>
      </c>
      <c r="E374" s="4">
        <v>0</v>
      </c>
      <c r="F374" s="4">
        <f>ROUND(Source!X348,O374)</f>
        <v>8489.65</v>
      </c>
      <c r="G374" s="4" t="s">
        <v>132</v>
      </c>
      <c r="H374" s="4" t="s">
        <v>133</v>
      </c>
      <c r="I374" s="4"/>
      <c r="J374" s="4"/>
      <c r="K374" s="4">
        <v>210</v>
      </c>
      <c r="L374" s="4">
        <v>25</v>
      </c>
      <c r="M374" s="4">
        <v>3</v>
      </c>
      <c r="N374" s="4" t="s">
        <v>3</v>
      </c>
      <c r="O374" s="4">
        <v>2</v>
      </c>
      <c r="P374" s="4"/>
      <c r="Q374" s="4"/>
      <c r="R374" s="4"/>
      <c r="S374" s="4"/>
      <c r="T374" s="4"/>
      <c r="U374" s="4"/>
      <c r="V374" s="4"/>
      <c r="W374" s="4">
        <v>8489.65</v>
      </c>
      <c r="X374" s="4">
        <v>1</v>
      </c>
      <c r="Y374" s="4">
        <v>245605.11000000002</v>
      </c>
      <c r="Z374" s="4"/>
      <c r="AA374" s="4"/>
      <c r="AB374" s="4"/>
    </row>
    <row r="375" spans="1:28">
      <c r="A375" s="4">
        <v>50</v>
      </c>
      <c r="B375" s="4">
        <v>0</v>
      </c>
      <c r="C375" s="4">
        <v>0</v>
      </c>
      <c r="D375" s="4">
        <v>1</v>
      </c>
      <c r="E375" s="4">
        <v>0</v>
      </c>
      <c r="F375" s="4">
        <f>ROUND(Source!Y348,O375)</f>
        <v>4595.1400000000003</v>
      </c>
      <c r="G375" s="4" t="s">
        <v>134</v>
      </c>
      <c r="H375" s="4" t="s">
        <v>135</v>
      </c>
      <c r="I375" s="4"/>
      <c r="J375" s="4"/>
      <c r="K375" s="4">
        <v>211</v>
      </c>
      <c r="L375" s="4">
        <v>26</v>
      </c>
      <c r="M375" s="4">
        <v>3</v>
      </c>
      <c r="N375" s="4" t="s">
        <v>3</v>
      </c>
      <c r="O375" s="4">
        <v>2</v>
      </c>
      <c r="P375" s="4"/>
      <c r="Q375" s="4"/>
      <c r="R375" s="4"/>
      <c r="S375" s="4"/>
      <c r="T375" s="4"/>
      <c r="U375" s="4"/>
      <c r="V375" s="4"/>
      <c r="W375" s="4">
        <v>4595.1400000000003</v>
      </c>
      <c r="X375" s="4">
        <v>1</v>
      </c>
      <c r="Y375" s="4">
        <v>132937.32999999999</v>
      </c>
      <c r="Z375" s="4"/>
      <c r="AA375" s="4"/>
      <c r="AB375" s="4"/>
    </row>
    <row r="376" spans="1:28">
      <c r="A376" s="4">
        <v>50</v>
      </c>
      <c r="B376" s="4">
        <v>0</v>
      </c>
      <c r="C376" s="4">
        <v>0</v>
      </c>
      <c r="D376" s="4">
        <v>1</v>
      </c>
      <c r="E376" s="4">
        <v>224</v>
      </c>
      <c r="F376" s="4">
        <f>ROUND(Source!AR348,O376)</f>
        <v>417916.83</v>
      </c>
      <c r="G376" s="4" t="s">
        <v>136</v>
      </c>
      <c r="H376" s="4" t="s">
        <v>137</v>
      </c>
      <c r="I376" s="4"/>
      <c r="J376" s="4"/>
      <c r="K376" s="4">
        <v>224</v>
      </c>
      <c r="L376" s="4">
        <v>27</v>
      </c>
      <c r="M376" s="4">
        <v>3</v>
      </c>
      <c r="N376" s="4" t="s">
        <v>3</v>
      </c>
      <c r="O376" s="4">
        <v>2</v>
      </c>
      <c r="P376" s="4"/>
      <c r="Q376" s="4"/>
      <c r="R376" s="4"/>
      <c r="S376" s="4"/>
      <c r="T376" s="4"/>
      <c r="U376" s="4"/>
      <c r="V376" s="4"/>
      <c r="W376" s="4">
        <v>417916.83000000007</v>
      </c>
      <c r="X376" s="4">
        <v>1</v>
      </c>
      <c r="Y376" s="4">
        <v>2782509.83</v>
      </c>
      <c r="Z376" s="4"/>
      <c r="AA376" s="4"/>
      <c r="AB376" s="4"/>
    </row>
    <row r="377" spans="1:28">
      <c r="A377" s="4">
        <v>50</v>
      </c>
      <c r="B377" s="4">
        <v>1</v>
      </c>
      <c r="C377" s="4">
        <v>0</v>
      </c>
      <c r="D377" s="4">
        <v>2</v>
      </c>
      <c r="E377" s="4">
        <v>201</v>
      </c>
      <c r="F377" s="4">
        <f>ROUND(ROUND(F350,0),O377)</f>
        <v>404832</v>
      </c>
      <c r="G377" s="4" t="s">
        <v>138</v>
      </c>
      <c r="H377" s="4" t="s">
        <v>139</v>
      </c>
      <c r="I377" s="4"/>
      <c r="J377" s="4"/>
      <c r="K377" s="4">
        <v>212</v>
      </c>
      <c r="L377" s="4">
        <v>28</v>
      </c>
      <c r="M377" s="4">
        <v>0</v>
      </c>
      <c r="N377" s="4" t="s">
        <v>3</v>
      </c>
      <c r="O377" s="4">
        <v>0</v>
      </c>
      <c r="P377" s="4"/>
      <c r="Q377" s="4"/>
      <c r="R377" s="4"/>
      <c r="S377" s="4"/>
      <c r="T377" s="4"/>
      <c r="U377" s="4"/>
      <c r="V377" s="4"/>
      <c r="W377" s="4">
        <v>404832</v>
      </c>
      <c r="X377" s="4">
        <v>1</v>
      </c>
      <c r="Y377" s="4">
        <v>2403967</v>
      </c>
      <c r="Z377" s="4"/>
      <c r="AA377" s="4"/>
      <c r="AB377" s="4"/>
    </row>
    <row r="378" spans="1:28">
      <c r="A378" s="4">
        <v>50</v>
      </c>
      <c r="B378" s="4">
        <v>1</v>
      </c>
      <c r="C378" s="4">
        <v>0</v>
      </c>
      <c r="D378" s="4">
        <v>2</v>
      </c>
      <c r="E378" s="4">
        <v>210</v>
      </c>
      <c r="F378" s="4">
        <f>ROUND(ROUND(F374,0),O378)</f>
        <v>8490</v>
      </c>
      <c r="G378" s="4" t="s">
        <v>140</v>
      </c>
      <c r="H378" s="4" t="s">
        <v>133</v>
      </c>
      <c r="I378" s="4"/>
      <c r="J378" s="4"/>
      <c r="K378" s="4">
        <v>212</v>
      </c>
      <c r="L378" s="4">
        <v>29</v>
      </c>
      <c r="M378" s="4">
        <v>0</v>
      </c>
      <c r="N378" s="4" t="s">
        <v>3</v>
      </c>
      <c r="O378" s="4">
        <v>0</v>
      </c>
      <c r="P378" s="4"/>
      <c r="Q378" s="4"/>
      <c r="R378" s="4"/>
      <c r="S378" s="4"/>
      <c r="T378" s="4"/>
      <c r="U378" s="4"/>
      <c r="V378" s="4"/>
      <c r="W378" s="4">
        <v>8490</v>
      </c>
      <c r="X378" s="4">
        <v>1</v>
      </c>
      <c r="Y378" s="4">
        <v>245605</v>
      </c>
      <c r="Z378" s="4"/>
      <c r="AA378" s="4"/>
      <c r="AB378" s="4"/>
    </row>
    <row r="379" spans="1:28">
      <c r="A379" s="4">
        <v>50</v>
      </c>
      <c r="B379" s="4">
        <v>1</v>
      </c>
      <c r="C379" s="4">
        <v>0</v>
      </c>
      <c r="D379" s="4">
        <v>2</v>
      </c>
      <c r="E379" s="4">
        <v>211</v>
      </c>
      <c r="F379" s="4">
        <f>ROUND(ROUND(F375,0),O379)</f>
        <v>4595</v>
      </c>
      <c r="G379" s="4" t="s">
        <v>141</v>
      </c>
      <c r="H379" s="4" t="s">
        <v>135</v>
      </c>
      <c r="I379" s="4"/>
      <c r="J379" s="4"/>
      <c r="K379" s="4">
        <v>212</v>
      </c>
      <c r="L379" s="4">
        <v>30</v>
      </c>
      <c r="M379" s="4">
        <v>0</v>
      </c>
      <c r="N379" s="4" t="s">
        <v>3</v>
      </c>
      <c r="O379" s="4">
        <v>0</v>
      </c>
      <c r="P379" s="4"/>
      <c r="Q379" s="4"/>
      <c r="R379" s="4"/>
      <c r="S379" s="4"/>
      <c r="T379" s="4"/>
      <c r="U379" s="4"/>
      <c r="V379" s="4"/>
      <c r="W379" s="4">
        <v>4595</v>
      </c>
      <c r="X379" s="4">
        <v>1</v>
      </c>
      <c r="Y379" s="4">
        <v>132937</v>
      </c>
      <c r="Z379" s="4"/>
      <c r="AA379" s="4"/>
      <c r="AB379" s="4"/>
    </row>
    <row r="380" spans="1:28">
      <c r="A380" s="4">
        <v>50</v>
      </c>
      <c r="B380" s="4">
        <v>1</v>
      </c>
      <c r="C380" s="4">
        <v>0</v>
      </c>
      <c r="D380" s="4">
        <v>2</v>
      </c>
      <c r="E380" s="4">
        <v>213</v>
      </c>
      <c r="F380" s="4">
        <f>ROUND(F377+F378+F379,O380)</f>
        <v>417917</v>
      </c>
      <c r="G380" s="4" t="s">
        <v>142</v>
      </c>
      <c r="H380" s="4" t="s">
        <v>143</v>
      </c>
      <c r="I380" s="4"/>
      <c r="J380" s="4"/>
      <c r="K380" s="4">
        <v>212</v>
      </c>
      <c r="L380" s="4">
        <v>31</v>
      </c>
      <c r="M380" s="4">
        <v>0</v>
      </c>
      <c r="N380" s="4" t="s">
        <v>3</v>
      </c>
      <c r="O380" s="4">
        <v>2</v>
      </c>
      <c r="P380" s="4"/>
      <c r="Q380" s="4"/>
      <c r="R380" s="4"/>
      <c r="S380" s="4"/>
      <c r="T380" s="4"/>
      <c r="U380" s="4"/>
      <c r="V380" s="4"/>
      <c r="W380" s="4">
        <v>417917</v>
      </c>
      <c r="X380" s="4">
        <v>1</v>
      </c>
      <c r="Y380" s="4">
        <v>2782509</v>
      </c>
      <c r="Z380" s="4"/>
      <c r="AA380" s="4"/>
      <c r="AB380" s="4"/>
    </row>
    <row r="381" spans="1:28">
      <c r="A381" s="4">
        <v>50</v>
      </c>
      <c r="B381" s="4">
        <v>1</v>
      </c>
      <c r="C381" s="4">
        <v>0</v>
      </c>
      <c r="D381" s="4">
        <v>2</v>
      </c>
      <c r="E381" s="4">
        <v>0</v>
      </c>
      <c r="F381" s="4">
        <v>65486.51</v>
      </c>
      <c r="G381" s="4" t="s">
        <v>144</v>
      </c>
      <c r="H381" s="4" t="s">
        <v>145</v>
      </c>
      <c r="I381" s="4"/>
      <c r="J381" s="4"/>
      <c r="K381" s="4">
        <v>212</v>
      </c>
      <c r="L381" s="4">
        <v>32</v>
      </c>
      <c r="M381" s="4">
        <v>1</v>
      </c>
      <c r="N381" s="4" t="s">
        <v>3</v>
      </c>
      <c r="O381" s="4">
        <v>2</v>
      </c>
      <c r="P381" s="4"/>
      <c r="Q381" s="4"/>
      <c r="R381" s="4"/>
      <c r="S381" s="4"/>
      <c r="T381" s="4"/>
      <c r="U381" s="4"/>
      <c r="V381" s="4"/>
      <c r="W381" s="4">
        <v>65486.51</v>
      </c>
      <c r="X381" s="4">
        <v>1</v>
      </c>
      <c r="Y381" s="4">
        <v>65486.51</v>
      </c>
      <c r="Z381" s="4"/>
      <c r="AA381" s="4"/>
      <c r="AB381" s="4"/>
    </row>
    <row r="382" spans="1:28">
      <c r="A382" s="4">
        <v>50</v>
      </c>
      <c r="B382" s="4">
        <v>1</v>
      </c>
      <c r="C382" s="4">
        <v>0</v>
      </c>
      <c r="D382" s="4">
        <v>2</v>
      </c>
      <c r="E382" s="4">
        <v>0</v>
      </c>
      <c r="F382" s="4">
        <v>352204.45</v>
      </c>
      <c r="G382" s="4" t="s">
        <v>146</v>
      </c>
      <c r="H382" s="4" t="s">
        <v>147</v>
      </c>
      <c r="I382" s="4"/>
      <c r="J382" s="4"/>
      <c r="K382" s="4">
        <v>212</v>
      </c>
      <c r="L382" s="4">
        <v>33</v>
      </c>
      <c r="M382" s="4">
        <v>1</v>
      </c>
      <c r="N382" s="4" t="s">
        <v>3</v>
      </c>
      <c r="O382" s="4">
        <v>2</v>
      </c>
      <c r="P382" s="4"/>
      <c r="Q382" s="4"/>
      <c r="R382" s="4"/>
      <c r="S382" s="4"/>
      <c r="T382" s="4"/>
      <c r="U382" s="4"/>
      <c r="V382" s="4"/>
      <c r="W382" s="4">
        <v>352204.45</v>
      </c>
      <c r="X382" s="4">
        <v>1</v>
      </c>
      <c r="Y382" s="4">
        <v>352204.45</v>
      </c>
      <c r="Z382" s="4"/>
      <c r="AA382" s="4"/>
      <c r="AB382" s="4"/>
    </row>
    <row r="383" spans="1:28">
      <c r="A383" s="4">
        <v>50</v>
      </c>
      <c r="B383" s="4">
        <v>0</v>
      </c>
      <c r="C383" s="4">
        <v>0</v>
      </c>
      <c r="D383" s="4">
        <v>2</v>
      </c>
      <c r="E383" s="4">
        <v>0</v>
      </c>
      <c r="F383" s="4">
        <v>0</v>
      </c>
      <c r="G383" s="4" t="s">
        <v>148</v>
      </c>
      <c r="H383" s="4" t="s">
        <v>149</v>
      </c>
      <c r="I383" s="4"/>
      <c r="J383" s="4"/>
      <c r="K383" s="4">
        <v>212</v>
      </c>
      <c r="L383" s="4">
        <v>34</v>
      </c>
      <c r="M383" s="4">
        <v>1</v>
      </c>
      <c r="N383" s="4" t="s">
        <v>3</v>
      </c>
      <c r="O383" s="4">
        <v>2</v>
      </c>
      <c r="P383" s="4"/>
      <c r="Q383" s="4"/>
      <c r="R383" s="4"/>
      <c r="S383" s="4"/>
      <c r="T383" s="4"/>
      <c r="U383" s="4"/>
      <c r="V383" s="4"/>
      <c r="W383" s="4">
        <v>0</v>
      </c>
      <c r="X383" s="4">
        <v>1</v>
      </c>
      <c r="Y383" s="4">
        <v>0</v>
      </c>
      <c r="Z383" s="4"/>
      <c r="AA383" s="4"/>
      <c r="AB383" s="4"/>
    </row>
    <row r="384" spans="1:28">
      <c r="A384" s="4">
        <v>50</v>
      </c>
      <c r="B384" s="4">
        <v>1</v>
      </c>
      <c r="C384" s="4">
        <v>0</v>
      </c>
      <c r="D384" s="4">
        <v>2</v>
      </c>
      <c r="E384" s="4">
        <v>0</v>
      </c>
      <c r="F384" s="4">
        <v>225.87</v>
      </c>
      <c r="G384" s="4" t="s">
        <v>150</v>
      </c>
      <c r="H384" s="4" t="s">
        <v>151</v>
      </c>
      <c r="I384" s="4"/>
      <c r="J384" s="4"/>
      <c r="K384" s="4">
        <v>212</v>
      </c>
      <c r="L384" s="4">
        <v>35</v>
      </c>
      <c r="M384" s="4">
        <v>1</v>
      </c>
      <c r="N384" s="4" t="s">
        <v>3</v>
      </c>
      <c r="O384" s="4">
        <v>2</v>
      </c>
      <c r="P384" s="4"/>
      <c r="Q384" s="4"/>
      <c r="R384" s="4"/>
      <c r="S384" s="4"/>
      <c r="T384" s="4"/>
      <c r="U384" s="4"/>
      <c r="V384" s="4"/>
      <c r="W384" s="4">
        <v>225.87</v>
      </c>
      <c r="X384" s="4">
        <v>1</v>
      </c>
      <c r="Y384" s="4">
        <v>225.87</v>
      </c>
      <c r="Z384" s="4"/>
      <c r="AA384" s="4"/>
      <c r="AB384" s="4"/>
    </row>
    <row r="385" spans="1:206">
      <c r="A385" s="4">
        <v>50</v>
      </c>
      <c r="B385" s="4">
        <f>IF(Source!F385=0,1,0)</f>
        <v>1</v>
      </c>
      <c r="C385" s="4">
        <v>0</v>
      </c>
      <c r="D385" s="4">
        <v>2</v>
      </c>
      <c r="E385" s="4">
        <v>0</v>
      </c>
      <c r="F385" s="4">
        <f>ROUND(ROUND((F380-F381-F382-F383-F384),0),O385)</f>
        <v>0</v>
      </c>
      <c r="G385" s="4" t="s">
        <v>152</v>
      </c>
      <c r="H385" s="4" t="s">
        <v>153</v>
      </c>
      <c r="I385" s="4"/>
      <c r="J385" s="4"/>
      <c r="K385" s="4">
        <v>212</v>
      </c>
      <c r="L385" s="4">
        <v>36</v>
      </c>
      <c r="M385" s="4">
        <v>2</v>
      </c>
      <c r="N385" s="4" t="s">
        <v>3</v>
      </c>
      <c r="O385" s="4">
        <v>0</v>
      </c>
      <c r="P385" s="4"/>
      <c r="Q385" s="4"/>
      <c r="R385" s="4"/>
      <c r="S385" s="4"/>
      <c r="T385" s="4"/>
      <c r="U385" s="4"/>
      <c r="V385" s="4"/>
      <c r="W385" s="4">
        <v>0</v>
      </c>
      <c r="X385" s="4">
        <v>1</v>
      </c>
      <c r="Y385" s="4">
        <v>2364592</v>
      </c>
      <c r="Z385" s="4"/>
      <c r="AA385" s="4"/>
      <c r="AB385" s="4"/>
    </row>
    <row r="387" spans="1:206">
      <c r="A387" s="2">
        <v>51</v>
      </c>
      <c r="B387" s="2">
        <f>B12</f>
        <v>450</v>
      </c>
      <c r="C387" s="2">
        <f>A12</f>
        <v>1</v>
      </c>
      <c r="D387" s="2">
        <f>ROW(A12)</f>
        <v>12</v>
      </c>
      <c r="E387" s="2"/>
      <c r="F387" s="2" t="str">
        <f>IF(F12&lt;&gt;"",F12,"")</f>
        <v>Новый объект_(Копия)_(Копия)_(Копия)_(Копия)_(Копия)_(Копия)_(Копия)_(Копия)_(Копия)_(Копия)_(Копия)_(Копия)_(Копия)_(Копия)_(Копия)_(Копия)</v>
      </c>
      <c r="G387" s="2" t="str">
        <f>IF(G12&lt;&gt;"",G12,"")</f>
        <v>38-03-23 КЛ-1 кВ ТП-477 Засечное примерно 6,7 км на северо-восток асфальт</v>
      </c>
      <c r="H387" s="2">
        <v>0</v>
      </c>
      <c r="I387" s="2"/>
      <c r="J387" s="2"/>
      <c r="K387" s="2"/>
      <c r="L387" s="2"/>
      <c r="M387" s="2"/>
      <c r="N387" s="2"/>
      <c r="O387" s="2">
        <f t="shared" ref="O387:T387" si="234">ROUND(O348,2)</f>
        <v>404832.04</v>
      </c>
      <c r="P387" s="2">
        <f t="shared" si="234"/>
        <v>339565.82</v>
      </c>
      <c r="Q387" s="2">
        <f t="shared" si="234"/>
        <v>58130.52</v>
      </c>
      <c r="R387" s="2">
        <f t="shared" si="234"/>
        <v>1386.7</v>
      </c>
      <c r="S387" s="2">
        <f t="shared" si="234"/>
        <v>7135.7</v>
      </c>
      <c r="T387" s="2">
        <f t="shared" si="234"/>
        <v>0</v>
      </c>
      <c r="U387" s="2">
        <f>U348</f>
        <v>809.20273140999996</v>
      </c>
      <c r="V387" s="2">
        <f>V348</f>
        <v>132.88028832000001</v>
      </c>
      <c r="W387" s="2">
        <f>ROUND(W348,2)</f>
        <v>0</v>
      </c>
      <c r="X387" s="2">
        <f>ROUND(X348,2)</f>
        <v>8489.65</v>
      </c>
      <c r="Y387" s="2">
        <f>ROUND(Y348,2)</f>
        <v>4595.1400000000003</v>
      </c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>
        <f t="shared" ref="AO387:BD387" si="235">ROUND(AO348,2)</f>
        <v>0</v>
      </c>
      <c r="AP387" s="2">
        <f t="shared" si="235"/>
        <v>0</v>
      </c>
      <c r="AQ387" s="2">
        <f t="shared" si="235"/>
        <v>0</v>
      </c>
      <c r="AR387" s="2">
        <f t="shared" si="235"/>
        <v>417916.83</v>
      </c>
      <c r="AS387" s="2">
        <f t="shared" si="235"/>
        <v>65486.51</v>
      </c>
      <c r="AT387" s="2">
        <f t="shared" si="235"/>
        <v>352204.45</v>
      </c>
      <c r="AU387" s="2">
        <f t="shared" si="235"/>
        <v>225.87</v>
      </c>
      <c r="AV387" s="2">
        <f t="shared" si="235"/>
        <v>339565.82</v>
      </c>
      <c r="AW387" s="2">
        <f t="shared" si="235"/>
        <v>339565.82</v>
      </c>
      <c r="AX387" s="2">
        <f t="shared" si="235"/>
        <v>0</v>
      </c>
      <c r="AY387" s="2">
        <f t="shared" si="235"/>
        <v>339565.82</v>
      </c>
      <c r="AZ387" s="2">
        <f t="shared" si="235"/>
        <v>0</v>
      </c>
      <c r="BA387" s="2">
        <f t="shared" si="235"/>
        <v>0</v>
      </c>
      <c r="BB387" s="2">
        <f t="shared" si="235"/>
        <v>0</v>
      </c>
      <c r="BC387" s="2">
        <f t="shared" si="235"/>
        <v>0</v>
      </c>
      <c r="BD387" s="2">
        <f t="shared" si="235"/>
        <v>1751.86</v>
      </c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>
        <v>0</v>
      </c>
    </row>
    <row r="389" spans="1:206">
      <c r="A389" s="4">
        <v>50</v>
      </c>
      <c r="B389" s="4">
        <v>0</v>
      </c>
      <c r="C389" s="4">
        <v>0</v>
      </c>
      <c r="D389" s="4">
        <v>1</v>
      </c>
      <c r="E389" s="4">
        <v>0</v>
      </c>
      <c r="F389" s="4">
        <f>ROUND(Source!O387,O389)</f>
        <v>404832.04</v>
      </c>
      <c r="G389" s="4" t="s">
        <v>84</v>
      </c>
      <c r="H389" s="4" t="s">
        <v>85</v>
      </c>
      <c r="I389" s="4"/>
      <c r="J389" s="4"/>
      <c r="K389" s="4">
        <v>201</v>
      </c>
      <c r="L389" s="4">
        <v>1</v>
      </c>
      <c r="M389" s="4">
        <v>3</v>
      </c>
      <c r="N389" s="4" t="s">
        <v>3</v>
      </c>
      <c r="O389" s="4">
        <v>2</v>
      </c>
      <c r="P389" s="4"/>
      <c r="Q389" s="4"/>
      <c r="R389" s="4"/>
      <c r="S389" s="4"/>
      <c r="T389" s="4"/>
      <c r="U389" s="4"/>
      <c r="V389" s="4"/>
      <c r="W389" s="4">
        <v>404832.04</v>
      </c>
      <c r="X389" s="4">
        <v>1</v>
      </c>
      <c r="Y389" s="4">
        <v>2403967.39</v>
      </c>
      <c r="Z389" s="4"/>
      <c r="AA389" s="4"/>
      <c r="AB389" s="4"/>
    </row>
    <row r="390" spans="1:206">
      <c r="A390" s="4">
        <v>50</v>
      </c>
      <c r="B390" s="4">
        <v>0</v>
      </c>
      <c r="C390" s="4">
        <v>0</v>
      </c>
      <c r="D390" s="4">
        <v>1</v>
      </c>
      <c r="E390" s="4">
        <v>202</v>
      </c>
      <c r="F390" s="4">
        <f>ROUND(Source!P387,O390)</f>
        <v>339565.82</v>
      </c>
      <c r="G390" s="4" t="s">
        <v>86</v>
      </c>
      <c r="H390" s="4" t="s">
        <v>87</v>
      </c>
      <c r="I390" s="4"/>
      <c r="J390" s="4"/>
      <c r="K390" s="4">
        <v>202</v>
      </c>
      <c r="L390" s="4">
        <v>2</v>
      </c>
      <c r="M390" s="4">
        <v>3</v>
      </c>
      <c r="N390" s="4" t="s">
        <v>3</v>
      </c>
      <c r="O390" s="4">
        <v>2</v>
      </c>
      <c r="P390" s="4"/>
      <c r="Q390" s="4"/>
      <c r="R390" s="4"/>
      <c r="S390" s="4"/>
      <c r="T390" s="4"/>
      <c r="U390" s="4"/>
      <c r="V390" s="4"/>
      <c r="W390" s="4">
        <v>339565.82</v>
      </c>
      <c r="X390" s="4">
        <v>1</v>
      </c>
      <c r="Y390" s="4">
        <v>0</v>
      </c>
      <c r="Z390" s="4"/>
      <c r="AA390" s="4"/>
      <c r="AB390" s="4"/>
    </row>
    <row r="391" spans="1:206">
      <c r="A391" s="4">
        <v>50</v>
      </c>
      <c r="B391" s="4">
        <v>0</v>
      </c>
      <c r="C391" s="4">
        <v>0</v>
      </c>
      <c r="D391" s="4">
        <v>1</v>
      </c>
      <c r="E391" s="4">
        <v>222</v>
      </c>
      <c r="F391" s="4">
        <f>ROUND(Source!AO387,O391)</f>
        <v>0</v>
      </c>
      <c r="G391" s="4" t="s">
        <v>88</v>
      </c>
      <c r="H391" s="4" t="s">
        <v>89</v>
      </c>
      <c r="I391" s="4"/>
      <c r="J391" s="4"/>
      <c r="K391" s="4">
        <v>222</v>
      </c>
      <c r="L391" s="4">
        <v>3</v>
      </c>
      <c r="M391" s="4">
        <v>3</v>
      </c>
      <c r="N391" s="4" t="s">
        <v>3</v>
      </c>
      <c r="O391" s="4">
        <v>2</v>
      </c>
      <c r="P391" s="4"/>
      <c r="Q391" s="4"/>
      <c r="R391" s="4"/>
      <c r="S391" s="4"/>
      <c r="T391" s="4"/>
      <c r="U391" s="4"/>
      <c r="V391" s="4"/>
      <c r="W391" s="4">
        <v>0</v>
      </c>
      <c r="X391" s="4">
        <v>1</v>
      </c>
      <c r="Y391" s="4">
        <v>0</v>
      </c>
      <c r="Z391" s="4"/>
      <c r="AA391" s="4"/>
      <c r="AB391" s="4"/>
    </row>
    <row r="392" spans="1:206">
      <c r="A392" s="4">
        <v>50</v>
      </c>
      <c r="B392" s="4">
        <v>0</v>
      </c>
      <c r="C392" s="4">
        <v>0</v>
      </c>
      <c r="D392" s="4">
        <v>1</v>
      </c>
      <c r="E392" s="4">
        <v>225</v>
      </c>
      <c r="F392" s="4">
        <f>ROUND(Source!AV387,O392)</f>
        <v>339565.82</v>
      </c>
      <c r="G392" s="4" t="s">
        <v>90</v>
      </c>
      <c r="H392" s="4" t="s">
        <v>91</v>
      </c>
      <c r="I392" s="4"/>
      <c r="J392" s="4"/>
      <c r="K392" s="4">
        <v>225</v>
      </c>
      <c r="L392" s="4">
        <v>4</v>
      </c>
      <c r="M392" s="4">
        <v>3</v>
      </c>
      <c r="N392" s="4" t="s">
        <v>3</v>
      </c>
      <c r="O392" s="4">
        <v>2</v>
      </c>
      <c r="P392" s="4"/>
      <c r="Q392" s="4"/>
      <c r="R392" s="4"/>
      <c r="S392" s="4"/>
      <c r="T392" s="4"/>
      <c r="U392" s="4"/>
      <c r="V392" s="4"/>
      <c r="W392" s="4">
        <v>339565.82</v>
      </c>
      <c r="X392" s="4">
        <v>1</v>
      </c>
      <c r="Y392" s="4">
        <v>0</v>
      </c>
      <c r="Z392" s="4"/>
      <c r="AA392" s="4"/>
      <c r="AB392" s="4"/>
    </row>
    <row r="393" spans="1:206">
      <c r="A393" s="4">
        <v>50</v>
      </c>
      <c r="B393" s="4">
        <v>0</v>
      </c>
      <c r="C393" s="4">
        <v>0</v>
      </c>
      <c r="D393" s="4">
        <v>1</v>
      </c>
      <c r="E393" s="4">
        <v>226</v>
      </c>
      <c r="F393" s="4">
        <f>ROUND(Source!AW387,O393)</f>
        <v>339565.82</v>
      </c>
      <c r="G393" s="4" t="s">
        <v>92</v>
      </c>
      <c r="H393" s="4" t="s">
        <v>93</v>
      </c>
      <c r="I393" s="4"/>
      <c r="J393" s="4"/>
      <c r="K393" s="4">
        <v>226</v>
      </c>
      <c r="L393" s="4">
        <v>5</v>
      </c>
      <c r="M393" s="4">
        <v>3</v>
      </c>
      <c r="N393" s="4" t="s">
        <v>3</v>
      </c>
      <c r="O393" s="4">
        <v>2</v>
      </c>
      <c r="P393" s="4"/>
      <c r="Q393" s="4"/>
      <c r="R393" s="4"/>
      <c r="S393" s="4"/>
      <c r="T393" s="4"/>
      <c r="U393" s="4"/>
      <c r="V393" s="4"/>
      <c r="W393" s="4">
        <v>339565.82</v>
      </c>
      <c r="X393" s="4">
        <v>1</v>
      </c>
      <c r="Y393" s="4">
        <v>1748763.97</v>
      </c>
      <c r="Z393" s="4"/>
      <c r="AA393" s="4"/>
      <c r="AB393" s="4"/>
    </row>
    <row r="394" spans="1:206">
      <c r="A394" s="4">
        <v>50</v>
      </c>
      <c r="B394" s="4">
        <v>0</v>
      </c>
      <c r="C394" s="4">
        <v>0</v>
      </c>
      <c r="D394" s="4">
        <v>1</v>
      </c>
      <c r="E394" s="4">
        <v>227</v>
      </c>
      <c r="F394" s="4">
        <f>ROUND(Source!AX387,O394)</f>
        <v>0</v>
      </c>
      <c r="G394" s="4" t="s">
        <v>94</v>
      </c>
      <c r="H394" s="4" t="s">
        <v>95</v>
      </c>
      <c r="I394" s="4"/>
      <c r="J394" s="4"/>
      <c r="K394" s="4">
        <v>227</v>
      </c>
      <c r="L394" s="4">
        <v>6</v>
      </c>
      <c r="M394" s="4">
        <v>3</v>
      </c>
      <c r="N394" s="4" t="s">
        <v>3</v>
      </c>
      <c r="O394" s="4">
        <v>2</v>
      </c>
      <c r="P394" s="4"/>
      <c r="Q394" s="4"/>
      <c r="R394" s="4"/>
      <c r="S394" s="4"/>
      <c r="T394" s="4"/>
      <c r="U394" s="4"/>
      <c r="V394" s="4"/>
      <c r="W394" s="4">
        <v>0</v>
      </c>
      <c r="X394" s="4">
        <v>1</v>
      </c>
      <c r="Y394" s="4">
        <v>0</v>
      </c>
      <c r="Z394" s="4"/>
      <c r="AA394" s="4"/>
      <c r="AB394" s="4"/>
    </row>
    <row r="395" spans="1:206">
      <c r="A395" s="4">
        <v>50</v>
      </c>
      <c r="B395" s="4">
        <v>0</v>
      </c>
      <c r="C395" s="4">
        <v>0</v>
      </c>
      <c r="D395" s="4">
        <v>1</v>
      </c>
      <c r="E395" s="4">
        <v>228</v>
      </c>
      <c r="F395" s="4">
        <f>ROUND(Source!AY387,O395)</f>
        <v>339565.82</v>
      </c>
      <c r="G395" s="4" t="s">
        <v>96</v>
      </c>
      <c r="H395" s="4" t="s">
        <v>97</v>
      </c>
      <c r="I395" s="4"/>
      <c r="J395" s="4"/>
      <c r="K395" s="4">
        <v>228</v>
      </c>
      <c r="L395" s="4">
        <v>7</v>
      </c>
      <c r="M395" s="4">
        <v>3</v>
      </c>
      <c r="N395" s="4" t="s">
        <v>3</v>
      </c>
      <c r="O395" s="4">
        <v>2</v>
      </c>
      <c r="P395" s="4"/>
      <c r="Q395" s="4"/>
      <c r="R395" s="4"/>
      <c r="S395" s="4"/>
      <c r="T395" s="4"/>
      <c r="U395" s="4"/>
      <c r="V395" s="4"/>
      <c r="W395" s="4">
        <v>339565.82</v>
      </c>
      <c r="X395" s="4">
        <v>1</v>
      </c>
      <c r="Y395" s="4">
        <v>1748763.97</v>
      </c>
      <c r="Z395" s="4"/>
      <c r="AA395" s="4"/>
      <c r="AB395" s="4"/>
    </row>
    <row r="396" spans="1:206">
      <c r="A396" s="4">
        <v>50</v>
      </c>
      <c r="B396" s="4">
        <v>0</v>
      </c>
      <c r="C396" s="4">
        <v>0</v>
      </c>
      <c r="D396" s="4">
        <v>1</v>
      </c>
      <c r="E396" s="4">
        <v>216</v>
      </c>
      <c r="F396" s="4">
        <f>ROUND(Source!AP387,O396)</f>
        <v>0</v>
      </c>
      <c r="G396" s="4" t="s">
        <v>98</v>
      </c>
      <c r="H396" s="4" t="s">
        <v>99</v>
      </c>
      <c r="I396" s="4"/>
      <c r="J396" s="4"/>
      <c r="K396" s="4">
        <v>216</v>
      </c>
      <c r="L396" s="4">
        <v>8</v>
      </c>
      <c r="M396" s="4">
        <v>3</v>
      </c>
      <c r="N396" s="4" t="s">
        <v>3</v>
      </c>
      <c r="O396" s="4">
        <v>2</v>
      </c>
      <c r="P396" s="4"/>
      <c r="Q396" s="4"/>
      <c r="R396" s="4"/>
      <c r="S396" s="4"/>
      <c r="T396" s="4"/>
      <c r="U396" s="4"/>
      <c r="V396" s="4"/>
      <c r="W396" s="4">
        <v>0</v>
      </c>
      <c r="X396" s="4">
        <v>1</v>
      </c>
      <c r="Y396" s="4">
        <v>0</v>
      </c>
      <c r="Z396" s="4"/>
      <c r="AA396" s="4"/>
      <c r="AB396" s="4"/>
    </row>
    <row r="397" spans="1:206">
      <c r="A397" s="4">
        <v>50</v>
      </c>
      <c r="B397" s="4">
        <v>0</v>
      </c>
      <c r="C397" s="4">
        <v>0</v>
      </c>
      <c r="D397" s="4">
        <v>1</v>
      </c>
      <c r="E397" s="4">
        <v>223</v>
      </c>
      <c r="F397" s="4">
        <f>ROUND(Source!AQ387,O397)</f>
        <v>0</v>
      </c>
      <c r="G397" s="4" t="s">
        <v>100</v>
      </c>
      <c r="H397" s="4" t="s">
        <v>101</v>
      </c>
      <c r="I397" s="4"/>
      <c r="J397" s="4"/>
      <c r="K397" s="4">
        <v>223</v>
      </c>
      <c r="L397" s="4">
        <v>9</v>
      </c>
      <c r="M397" s="4">
        <v>3</v>
      </c>
      <c r="N397" s="4" t="s">
        <v>3</v>
      </c>
      <c r="O397" s="4">
        <v>2</v>
      </c>
      <c r="P397" s="4"/>
      <c r="Q397" s="4"/>
      <c r="R397" s="4"/>
      <c r="S397" s="4"/>
      <c r="T397" s="4"/>
      <c r="U397" s="4"/>
      <c r="V397" s="4"/>
      <c r="W397" s="4">
        <v>0</v>
      </c>
      <c r="X397" s="4">
        <v>1</v>
      </c>
      <c r="Y397" s="4">
        <v>0</v>
      </c>
      <c r="Z397" s="4"/>
      <c r="AA397" s="4"/>
      <c r="AB397" s="4"/>
    </row>
    <row r="398" spans="1:206">
      <c r="A398" s="4">
        <v>50</v>
      </c>
      <c r="B398" s="4">
        <v>0</v>
      </c>
      <c r="C398" s="4">
        <v>0</v>
      </c>
      <c r="D398" s="4">
        <v>1</v>
      </c>
      <c r="E398" s="4">
        <v>229</v>
      </c>
      <c r="F398" s="4">
        <f>ROUND(Source!AZ387,O398)</f>
        <v>0</v>
      </c>
      <c r="G398" s="4" t="s">
        <v>102</v>
      </c>
      <c r="H398" s="4" t="s">
        <v>103</v>
      </c>
      <c r="I398" s="4"/>
      <c r="J398" s="4"/>
      <c r="K398" s="4">
        <v>229</v>
      </c>
      <c r="L398" s="4">
        <v>10</v>
      </c>
      <c r="M398" s="4">
        <v>3</v>
      </c>
      <c r="N398" s="4" t="s">
        <v>3</v>
      </c>
      <c r="O398" s="4">
        <v>2</v>
      </c>
      <c r="P398" s="4"/>
      <c r="Q398" s="4"/>
      <c r="R398" s="4"/>
      <c r="S398" s="4"/>
      <c r="T398" s="4"/>
      <c r="U398" s="4"/>
      <c r="V398" s="4"/>
      <c r="W398" s="4">
        <v>0</v>
      </c>
      <c r="X398" s="4">
        <v>1</v>
      </c>
      <c r="Y398" s="4">
        <v>0</v>
      </c>
      <c r="Z398" s="4"/>
      <c r="AA398" s="4"/>
      <c r="AB398" s="4"/>
    </row>
    <row r="399" spans="1:206">
      <c r="A399" s="4">
        <v>50</v>
      </c>
      <c r="B399" s="4">
        <v>0</v>
      </c>
      <c r="C399" s="4">
        <v>0</v>
      </c>
      <c r="D399" s="4">
        <v>1</v>
      </c>
      <c r="E399" s="4">
        <v>203</v>
      </c>
      <c r="F399" s="4">
        <f>ROUND(Source!Q387,O399)</f>
        <v>58130.52</v>
      </c>
      <c r="G399" s="4" t="s">
        <v>104</v>
      </c>
      <c r="H399" s="4" t="s">
        <v>105</v>
      </c>
      <c r="I399" s="4"/>
      <c r="J399" s="4"/>
      <c r="K399" s="4">
        <v>203</v>
      </c>
      <c r="L399" s="4">
        <v>11</v>
      </c>
      <c r="M399" s="4">
        <v>3</v>
      </c>
      <c r="N399" s="4" t="s">
        <v>3</v>
      </c>
      <c r="O399" s="4">
        <v>2</v>
      </c>
      <c r="P399" s="4"/>
      <c r="Q399" s="4"/>
      <c r="R399" s="4"/>
      <c r="S399" s="4"/>
      <c r="T399" s="4"/>
      <c r="U399" s="4"/>
      <c r="V399" s="4"/>
      <c r="W399" s="4">
        <v>56378.659999999996</v>
      </c>
      <c r="X399" s="4">
        <v>1</v>
      </c>
      <c r="Y399" s="4">
        <v>435243.26</v>
      </c>
      <c r="Z399" s="4"/>
      <c r="AA399" s="4"/>
      <c r="AB399" s="4"/>
    </row>
    <row r="400" spans="1:206">
      <c r="A400" s="4">
        <v>50</v>
      </c>
      <c r="B400" s="4">
        <v>0</v>
      </c>
      <c r="C400" s="4">
        <v>0</v>
      </c>
      <c r="D400" s="4">
        <v>1</v>
      </c>
      <c r="E400" s="4">
        <v>231</v>
      </c>
      <c r="F400" s="4">
        <f>ROUND(Source!BB387,O400)</f>
        <v>0</v>
      </c>
      <c r="G400" s="4" t="s">
        <v>106</v>
      </c>
      <c r="H400" s="4" t="s">
        <v>107</v>
      </c>
      <c r="I400" s="4"/>
      <c r="J400" s="4"/>
      <c r="K400" s="4">
        <v>231</v>
      </c>
      <c r="L400" s="4">
        <v>12</v>
      </c>
      <c r="M400" s="4">
        <v>3</v>
      </c>
      <c r="N400" s="4" t="s">
        <v>3</v>
      </c>
      <c r="O400" s="4">
        <v>2</v>
      </c>
      <c r="P400" s="4"/>
      <c r="Q400" s="4"/>
      <c r="R400" s="4"/>
      <c r="S400" s="4"/>
      <c r="T400" s="4"/>
      <c r="U400" s="4"/>
      <c r="V400" s="4"/>
      <c r="W400" s="4">
        <v>0</v>
      </c>
      <c r="X400" s="4">
        <v>1</v>
      </c>
      <c r="Y400" s="4">
        <v>0</v>
      </c>
      <c r="Z400" s="4"/>
      <c r="AA400" s="4"/>
      <c r="AB400" s="4"/>
    </row>
    <row r="401" spans="1:28">
      <c r="A401" s="4">
        <v>50</v>
      </c>
      <c r="B401" s="4">
        <v>0</v>
      </c>
      <c r="C401" s="4">
        <v>0</v>
      </c>
      <c r="D401" s="4">
        <v>1</v>
      </c>
      <c r="E401" s="4">
        <v>204</v>
      </c>
      <c r="F401" s="4">
        <f>ROUND(Source!R387,O401)</f>
        <v>1386.7</v>
      </c>
      <c r="G401" s="4" t="s">
        <v>108</v>
      </c>
      <c r="H401" s="4" t="s">
        <v>109</v>
      </c>
      <c r="I401" s="4"/>
      <c r="J401" s="4"/>
      <c r="K401" s="4">
        <v>204</v>
      </c>
      <c r="L401" s="4">
        <v>13</v>
      </c>
      <c r="M401" s="4">
        <v>3</v>
      </c>
      <c r="N401" s="4" t="s">
        <v>3</v>
      </c>
      <c r="O401" s="4">
        <v>2</v>
      </c>
      <c r="P401" s="4"/>
      <c r="Q401" s="4"/>
      <c r="R401" s="4"/>
      <c r="S401" s="4"/>
      <c r="T401" s="4"/>
      <c r="U401" s="4"/>
      <c r="V401" s="4"/>
      <c r="W401" s="4">
        <v>1386.6999999999998</v>
      </c>
      <c r="X401" s="4">
        <v>1</v>
      </c>
      <c r="Y401" s="4">
        <v>40117.22</v>
      </c>
      <c r="Z401" s="4"/>
      <c r="AA401" s="4"/>
      <c r="AB401" s="4"/>
    </row>
    <row r="402" spans="1:28">
      <c r="A402" s="4">
        <v>50</v>
      </c>
      <c r="B402" s="4">
        <v>0</v>
      </c>
      <c r="C402" s="4">
        <v>0</v>
      </c>
      <c r="D402" s="4">
        <v>1</v>
      </c>
      <c r="E402" s="4">
        <v>205</v>
      </c>
      <c r="F402" s="4">
        <f>ROUND(Source!S387,O402)</f>
        <v>7135.7</v>
      </c>
      <c r="G402" s="4" t="s">
        <v>110</v>
      </c>
      <c r="H402" s="4" t="s">
        <v>111</v>
      </c>
      <c r="I402" s="4"/>
      <c r="J402" s="4"/>
      <c r="K402" s="4">
        <v>205</v>
      </c>
      <c r="L402" s="4">
        <v>14</v>
      </c>
      <c r="M402" s="4">
        <v>3</v>
      </c>
      <c r="N402" s="4" t="s">
        <v>3</v>
      </c>
      <c r="O402" s="4">
        <v>2</v>
      </c>
      <c r="P402" s="4"/>
      <c r="Q402" s="4"/>
      <c r="R402" s="4"/>
      <c r="S402" s="4"/>
      <c r="T402" s="4"/>
      <c r="U402" s="4"/>
      <c r="V402" s="4"/>
      <c r="W402" s="4">
        <v>7135.6999999999989</v>
      </c>
      <c r="X402" s="4">
        <v>1</v>
      </c>
      <c r="Y402" s="4">
        <v>206435.80000000008</v>
      </c>
      <c r="Z402" s="4"/>
      <c r="AA402" s="4"/>
      <c r="AB402" s="4"/>
    </row>
    <row r="403" spans="1:28">
      <c r="A403" s="4">
        <v>50</v>
      </c>
      <c r="B403" s="4">
        <v>0</v>
      </c>
      <c r="C403" s="4">
        <v>0</v>
      </c>
      <c r="D403" s="4">
        <v>1</v>
      </c>
      <c r="E403" s="4">
        <v>232</v>
      </c>
      <c r="F403" s="4">
        <f>ROUND(Source!BC387,O403)</f>
        <v>0</v>
      </c>
      <c r="G403" s="4" t="s">
        <v>112</v>
      </c>
      <c r="H403" s="4" t="s">
        <v>113</v>
      </c>
      <c r="I403" s="4"/>
      <c r="J403" s="4"/>
      <c r="K403" s="4">
        <v>232</v>
      </c>
      <c r="L403" s="4">
        <v>15</v>
      </c>
      <c r="M403" s="4">
        <v>3</v>
      </c>
      <c r="N403" s="4" t="s">
        <v>3</v>
      </c>
      <c r="O403" s="4">
        <v>2</v>
      </c>
      <c r="P403" s="4"/>
      <c r="Q403" s="4"/>
      <c r="R403" s="4"/>
      <c r="S403" s="4"/>
      <c r="T403" s="4"/>
      <c r="U403" s="4"/>
      <c r="V403" s="4"/>
      <c r="W403" s="4">
        <v>0</v>
      </c>
      <c r="X403" s="4">
        <v>1</v>
      </c>
      <c r="Y403" s="4">
        <v>0</v>
      </c>
      <c r="Z403" s="4"/>
      <c r="AA403" s="4"/>
      <c r="AB403" s="4"/>
    </row>
    <row r="404" spans="1:28">
      <c r="A404" s="4">
        <v>50</v>
      </c>
      <c r="B404" s="4">
        <v>0</v>
      </c>
      <c r="C404" s="4">
        <v>0</v>
      </c>
      <c r="D404" s="4">
        <v>1</v>
      </c>
      <c r="E404" s="4">
        <v>214</v>
      </c>
      <c r="F404" s="4">
        <f>ROUND(Source!AS387,O404)</f>
        <v>65486.51</v>
      </c>
      <c r="G404" s="4" t="s">
        <v>114</v>
      </c>
      <c r="H404" s="4" t="s">
        <v>115</v>
      </c>
      <c r="I404" s="4"/>
      <c r="J404" s="4"/>
      <c r="K404" s="4">
        <v>214</v>
      </c>
      <c r="L404" s="4">
        <v>16</v>
      </c>
      <c r="M404" s="4">
        <v>3</v>
      </c>
      <c r="N404" s="4" t="s">
        <v>3</v>
      </c>
      <c r="O404" s="4">
        <v>2</v>
      </c>
      <c r="P404" s="4"/>
      <c r="Q404" s="4"/>
      <c r="R404" s="4"/>
      <c r="S404" s="4"/>
      <c r="T404" s="4"/>
      <c r="U404" s="4"/>
      <c r="V404" s="4"/>
      <c r="W404" s="4">
        <v>65486.51</v>
      </c>
      <c r="X404" s="4">
        <v>1</v>
      </c>
      <c r="Y404" s="4">
        <v>650630.77999999991</v>
      </c>
      <c r="Z404" s="4"/>
      <c r="AA404" s="4"/>
      <c r="AB404" s="4"/>
    </row>
    <row r="405" spans="1:28">
      <c r="A405" s="4">
        <v>50</v>
      </c>
      <c r="B405" s="4">
        <v>0</v>
      </c>
      <c r="C405" s="4">
        <v>0</v>
      </c>
      <c r="D405" s="4">
        <v>1</v>
      </c>
      <c r="E405" s="4">
        <v>215</v>
      </c>
      <c r="F405" s="4">
        <f>ROUND(Source!AT387,O405)</f>
        <v>352204.45</v>
      </c>
      <c r="G405" s="4" t="s">
        <v>116</v>
      </c>
      <c r="H405" s="4" t="s">
        <v>117</v>
      </c>
      <c r="I405" s="4"/>
      <c r="J405" s="4"/>
      <c r="K405" s="4">
        <v>215</v>
      </c>
      <c r="L405" s="4">
        <v>17</v>
      </c>
      <c r="M405" s="4">
        <v>3</v>
      </c>
      <c r="N405" s="4" t="s">
        <v>3</v>
      </c>
      <c r="O405" s="4">
        <v>2</v>
      </c>
      <c r="P405" s="4"/>
      <c r="Q405" s="4"/>
      <c r="R405" s="4"/>
      <c r="S405" s="4"/>
      <c r="T405" s="4"/>
      <c r="U405" s="4"/>
      <c r="V405" s="4"/>
      <c r="W405" s="4">
        <v>352204.45</v>
      </c>
      <c r="X405" s="4">
        <v>1</v>
      </c>
      <c r="Y405" s="4">
        <v>2125344.46</v>
      </c>
      <c r="Z405" s="4"/>
      <c r="AA405" s="4"/>
      <c r="AB405" s="4"/>
    </row>
    <row r="406" spans="1:28">
      <c r="A406" s="4">
        <v>50</v>
      </c>
      <c r="B406" s="4">
        <v>0</v>
      </c>
      <c r="C406" s="4">
        <v>0</v>
      </c>
      <c r="D406" s="4">
        <v>1</v>
      </c>
      <c r="E406" s="4">
        <v>217</v>
      </c>
      <c r="F406" s="4">
        <f>ROUND(Source!AU387,O406)</f>
        <v>225.87</v>
      </c>
      <c r="G406" s="4" t="s">
        <v>118</v>
      </c>
      <c r="H406" s="4" t="s">
        <v>119</v>
      </c>
      <c r="I406" s="4"/>
      <c r="J406" s="4"/>
      <c r="K406" s="4">
        <v>217</v>
      </c>
      <c r="L406" s="4">
        <v>18</v>
      </c>
      <c r="M406" s="4">
        <v>3</v>
      </c>
      <c r="N406" s="4" t="s">
        <v>3</v>
      </c>
      <c r="O406" s="4">
        <v>2</v>
      </c>
      <c r="P406" s="4"/>
      <c r="Q406" s="4"/>
      <c r="R406" s="4"/>
      <c r="S406" s="4"/>
      <c r="T406" s="4"/>
      <c r="U406" s="4"/>
      <c r="V406" s="4"/>
      <c r="W406" s="4">
        <v>225.87</v>
      </c>
      <c r="X406" s="4">
        <v>1</v>
      </c>
      <c r="Y406" s="4">
        <v>6534.59</v>
      </c>
      <c r="Z406" s="4"/>
      <c r="AA406" s="4"/>
      <c r="AB406" s="4"/>
    </row>
    <row r="407" spans="1:28">
      <c r="A407" s="4">
        <v>50</v>
      </c>
      <c r="B407" s="4">
        <v>0</v>
      </c>
      <c r="C407" s="4">
        <v>0</v>
      </c>
      <c r="D407" s="4">
        <v>1</v>
      </c>
      <c r="E407" s="4">
        <v>230</v>
      </c>
      <c r="F407" s="4">
        <f>ROUND(Source!BA387,O407)</f>
        <v>0</v>
      </c>
      <c r="G407" s="4" t="s">
        <v>120</v>
      </c>
      <c r="H407" s="4" t="s">
        <v>121</v>
      </c>
      <c r="I407" s="4"/>
      <c r="J407" s="4"/>
      <c r="K407" s="4">
        <v>230</v>
      </c>
      <c r="L407" s="4">
        <v>19</v>
      </c>
      <c r="M407" s="4">
        <v>3</v>
      </c>
      <c r="N407" s="4" t="s">
        <v>3</v>
      </c>
      <c r="O407" s="4">
        <v>2</v>
      </c>
      <c r="P407" s="4"/>
      <c r="Q407" s="4"/>
      <c r="R407" s="4"/>
      <c r="S407" s="4"/>
      <c r="T407" s="4"/>
      <c r="U407" s="4"/>
      <c r="V407" s="4"/>
      <c r="W407" s="4">
        <v>0</v>
      </c>
      <c r="X407" s="4">
        <v>1</v>
      </c>
      <c r="Y407" s="4">
        <v>0</v>
      </c>
      <c r="Z407" s="4"/>
      <c r="AA407" s="4"/>
      <c r="AB407" s="4"/>
    </row>
    <row r="408" spans="1:28">
      <c r="A408" s="4">
        <v>50</v>
      </c>
      <c r="B408" s="4">
        <v>0</v>
      </c>
      <c r="C408" s="4">
        <v>0</v>
      </c>
      <c r="D408" s="4">
        <v>1</v>
      </c>
      <c r="E408" s="4">
        <v>206</v>
      </c>
      <c r="F408" s="4">
        <f>ROUND(Source!T387,O408)</f>
        <v>0</v>
      </c>
      <c r="G408" s="4" t="s">
        <v>122</v>
      </c>
      <c r="H408" s="4" t="s">
        <v>123</v>
      </c>
      <c r="I408" s="4"/>
      <c r="J408" s="4"/>
      <c r="K408" s="4">
        <v>206</v>
      </c>
      <c r="L408" s="4">
        <v>20</v>
      </c>
      <c r="M408" s="4">
        <v>3</v>
      </c>
      <c r="N408" s="4" t="s">
        <v>3</v>
      </c>
      <c r="O408" s="4">
        <v>2</v>
      </c>
      <c r="P408" s="4"/>
      <c r="Q408" s="4"/>
      <c r="R408" s="4"/>
      <c r="S408" s="4"/>
      <c r="T408" s="4"/>
      <c r="U408" s="4"/>
      <c r="V408" s="4"/>
      <c r="W408" s="4">
        <v>0</v>
      </c>
      <c r="X408" s="4">
        <v>1</v>
      </c>
      <c r="Y408" s="4">
        <v>0</v>
      </c>
      <c r="Z408" s="4"/>
      <c r="AA408" s="4"/>
      <c r="AB408" s="4"/>
    </row>
    <row r="409" spans="1:28">
      <c r="A409" s="4">
        <v>50</v>
      </c>
      <c r="B409" s="4">
        <v>0</v>
      </c>
      <c r="C409" s="4">
        <v>0</v>
      </c>
      <c r="D409" s="4">
        <v>1</v>
      </c>
      <c r="E409" s="4">
        <v>207</v>
      </c>
      <c r="F409" s="4">
        <f>Source!U387</f>
        <v>809.20273140999996</v>
      </c>
      <c r="G409" s="4" t="s">
        <v>124</v>
      </c>
      <c r="H409" s="4" t="s">
        <v>125</v>
      </c>
      <c r="I409" s="4"/>
      <c r="J409" s="4"/>
      <c r="K409" s="4">
        <v>207</v>
      </c>
      <c r="L409" s="4">
        <v>21</v>
      </c>
      <c r="M409" s="4">
        <v>3</v>
      </c>
      <c r="N409" s="4" t="s">
        <v>3</v>
      </c>
      <c r="O409" s="4">
        <v>-1</v>
      </c>
      <c r="P409" s="4"/>
      <c r="Q409" s="4"/>
      <c r="R409" s="4"/>
      <c r="S409" s="4"/>
      <c r="T409" s="4"/>
      <c r="U409" s="4"/>
      <c r="V409" s="4"/>
      <c r="W409" s="4">
        <v>809.20273139999995</v>
      </c>
      <c r="X409" s="4">
        <v>1</v>
      </c>
      <c r="Y409" s="4">
        <v>809.20273139999995</v>
      </c>
      <c r="Z409" s="4"/>
      <c r="AA409" s="4"/>
      <c r="AB409" s="4"/>
    </row>
    <row r="410" spans="1:28">
      <c r="A410" s="4">
        <v>50</v>
      </c>
      <c r="B410" s="4">
        <v>0</v>
      </c>
      <c r="C410" s="4">
        <v>0</v>
      </c>
      <c r="D410" s="4">
        <v>1</v>
      </c>
      <c r="E410" s="4">
        <v>208</v>
      </c>
      <c r="F410" s="4">
        <f>Source!V387</f>
        <v>132.88028832000001</v>
      </c>
      <c r="G410" s="4" t="s">
        <v>126</v>
      </c>
      <c r="H410" s="4" t="s">
        <v>127</v>
      </c>
      <c r="I410" s="4"/>
      <c r="J410" s="4"/>
      <c r="K410" s="4">
        <v>208</v>
      </c>
      <c r="L410" s="4">
        <v>22</v>
      </c>
      <c r="M410" s="4">
        <v>3</v>
      </c>
      <c r="N410" s="4" t="s">
        <v>3</v>
      </c>
      <c r="O410" s="4">
        <v>-1</v>
      </c>
      <c r="P410" s="4"/>
      <c r="Q410" s="4"/>
      <c r="R410" s="4"/>
      <c r="S410" s="4"/>
      <c r="T410" s="4"/>
      <c r="U410" s="4"/>
      <c r="V410" s="4"/>
      <c r="W410" s="4">
        <v>132.88028829999999</v>
      </c>
      <c r="X410" s="4">
        <v>1</v>
      </c>
      <c r="Y410" s="4">
        <v>132.88028829999999</v>
      </c>
      <c r="Z410" s="4"/>
      <c r="AA410" s="4"/>
      <c r="AB410" s="4"/>
    </row>
    <row r="411" spans="1:28">
      <c r="A411" s="4">
        <v>50</v>
      </c>
      <c r="B411" s="4">
        <v>0</v>
      </c>
      <c r="C411" s="4">
        <v>0</v>
      </c>
      <c r="D411" s="4">
        <v>1</v>
      </c>
      <c r="E411" s="4">
        <v>209</v>
      </c>
      <c r="F411" s="4">
        <f>ROUND(Source!W387,O411)</f>
        <v>0</v>
      </c>
      <c r="G411" s="4" t="s">
        <v>128</v>
      </c>
      <c r="H411" s="4" t="s">
        <v>129</v>
      </c>
      <c r="I411" s="4"/>
      <c r="J411" s="4"/>
      <c r="K411" s="4">
        <v>209</v>
      </c>
      <c r="L411" s="4">
        <v>23</v>
      </c>
      <c r="M411" s="4">
        <v>3</v>
      </c>
      <c r="N411" s="4" t="s">
        <v>3</v>
      </c>
      <c r="O411" s="4">
        <v>2</v>
      </c>
      <c r="P411" s="4"/>
      <c r="Q411" s="4"/>
      <c r="R411" s="4"/>
      <c r="S411" s="4"/>
      <c r="T411" s="4"/>
      <c r="U411" s="4"/>
      <c r="V411" s="4"/>
      <c r="W411" s="4">
        <v>0</v>
      </c>
      <c r="X411" s="4">
        <v>1</v>
      </c>
      <c r="Y411" s="4">
        <v>0</v>
      </c>
      <c r="Z411" s="4"/>
      <c r="AA411" s="4"/>
      <c r="AB411" s="4"/>
    </row>
    <row r="412" spans="1:28">
      <c r="A412" s="4">
        <v>50</v>
      </c>
      <c r="B412" s="4">
        <v>0</v>
      </c>
      <c r="C412" s="4">
        <v>0</v>
      </c>
      <c r="D412" s="4">
        <v>1</v>
      </c>
      <c r="E412" s="4">
        <v>233</v>
      </c>
      <c r="F412" s="4">
        <f>ROUND(Source!BD387,O412)</f>
        <v>1751.86</v>
      </c>
      <c r="G412" s="4" t="s">
        <v>130</v>
      </c>
      <c r="H412" s="4" t="s">
        <v>131</v>
      </c>
      <c r="I412" s="4"/>
      <c r="J412" s="4"/>
      <c r="K412" s="4">
        <v>233</v>
      </c>
      <c r="L412" s="4">
        <v>24</v>
      </c>
      <c r="M412" s="4">
        <v>3</v>
      </c>
      <c r="N412" s="4" t="s">
        <v>3</v>
      </c>
      <c r="O412" s="4">
        <v>2</v>
      </c>
      <c r="P412" s="4"/>
      <c r="Q412" s="4"/>
      <c r="R412" s="4"/>
      <c r="S412" s="4"/>
      <c r="T412" s="4"/>
      <c r="U412" s="4"/>
      <c r="V412" s="4"/>
      <c r="W412" s="4">
        <v>1751.86</v>
      </c>
      <c r="X412" s="4">
        <v>1</v>
      </c>
      <c r="Y412" s="4">
        <v>13524.36</v>
      </c>
      <c r="Z412" s="4"/>
      <c r="AA412" s="4"/>
      <c r="AB412" s="4"/>
    </row>
    <row r="413" spans="1:28">
      <c r="A413" s="4">
        <v>50</v>
      </c>
      <c r="B413" s="4">
        <v>0</v>
      </c>
      <c r="C413" s="4">
        <v>0</v>
      </c>
      <c r="D413" s="4">
        <v>1</v>
      </c>
      <c r="E413" s="4">
        <v>0</v>
      </c>
      <c r="F413" s="4">
        <f>ROUND(Source!X387,O413)</f>
        <v>8489.65</v>
      </c>
      <c r="G413" s="4" t="s">
        <v>132</v>
      </c>
      <c r="H413" s="4" t="s">
        <v>133</v>
      </c>
      <c r="I413" s="4"/>
      <c r="J413" s="4"/>
      <c r="K413" s="4">
        <v>210</v>
      </c>
      <c r="L413" s="4">
        <v>25</v>
      </c>
      <c r="M413" s="4">
        <v>3</v>
      </c>
      <c r="N413" s="4" t="s">
        <v>3</v>
      </c>
      <c r="O413" s="4">
        <v>2</v>
      </c>
      <c r="P413" s="4"/>
      <c r="Q413" s="4"/>
      <c r="R413" s="4"/>
      <c r="S413" s="4"/>
      <c r="T413" s="4"/>
      <c r="U413" s="4"/>
      <c r="V413" s="4"/>
      <c r="W413" s="4">
        <v>8489.65</v>
      </c>
      <c r="X413" s="4">
        <v>1</v>
      </c>
      <c r="Y413" s="4">
        <v>245605.11000000002</v>
      </c>
      <c r="Z413" s="4"/>
      <c r="AA413" s="4"/>
      <c r="AB413" s="4"/>
    </row>
    <row r="414" spans="1:28">
      <c r="A414" s="4">
        <v>50</v>
      </c>
      <c r="B414" s="4">
        <v>0</v>
      </c>
      <c r="C414" s="4">
        <v>0</v>
      </c>
      <c r="D414" s="4">
        <v>1</v>
      </c>
      <c r="E414" s="4">
        <v>0</v>
      </c>
      <c r="F414" s="4">
        <f>ROUND(Source!Y387,O414)</f>
        <v>4595.1400000000003</v>
      </c>
      <c r="G414" s="4" t="s">
        <v>134</v>
      </c>
      <c r="H414" s="4" t="s">
        <v>135</v>
      </c>
      <c r="I414" s="4"/>
      <c r="J414" s="4"/>
      <c r="K414" s="4">
        <v>211</v>
      </c>
      <c r="L414" s="4">
        <v>26</v>
      </c>
      <c r="M414" s="4">
        <v>3</v>
      </c>
      <c r="N414" s="4" t="s">
        <v>3</v>
      </c>
      <c r="O414" s="4">
        <v>2</v>
      </c>
      <c r="P414" s="4"/>
      <c r="Q414" s="4"/>
      <c r="R414" s="4"/>
      <c r="S414" s="4"/>
      <c r="T414" s="4"/>
      <c r="U414" s="4"/>
      <c r="V414" s="4"/>
      <c r="W414" s="4">
        <v>4595.1400000000003</v>
      </c>
      <c r="X414" s="4">
        <v>1</v>
      </c>
      <c r="Y414" s="4">
        <v>132937.33000000002</v>
      </c>
      <c r="Z414" s="4"/>
      <c r="AA414" s="4"/>
      <c r="AB414" s="4"/>
    </row>
    <row r="415" spans="1:28">
      <c r="A415" s="4">
        <v>50</v>
      </c>
      <c r="B415" s="4">
        <v>0</v>
      </c>
      <c r="C415" s="4">
        <v>0</v>
      </c>
      <c r="D415" s="4">
        <v>1</v>
      </c>
      <c r="E415" s="4">
        <v>224</v>
      </c>
      <c r="F415" s="4">
        <f>ROUND(Source!AR387,O415)</f>
        <v>417916.83</v>
      </c>
      <c r="G415" s="4" t="s">
        <v>136</v>
      </c>
      <c r="H415" s="4" t="s">
        <v>137</v>
      </c>
      <c r="I415" s="4"/>
      <c r="J415" s="4"/>
      <c r="K415" s="4">
        <v>224</v>
      </c>
      <c r="L415" s="4">
        <v>27</v>
      </c>
      <c r="M415" s="4">
        <v>3</v>
      </c>
      <c r="N415" s="4" t="s">
        <v>3</v>
      </c>
      <c r="O415" s="4">
        <v>2</v>
      </c>
      <c r="P415" s="4"/>
      <c r="Q415" s="4"/>
      <c r="R415" s="4"/>
      <c r="S415" s="4"/>
      <c r="T415" s="4"/>
      <c r="U415" s="4"/>
      <c r="V415" s="4"/>
      <c r="W415" s="4">
        <v>417916.83</v>
      </c>
      <c r="X415" s="4">
        <v>1</v>
      </c>
      <c r="Y415" s="4">
        <v>2782509.83</v>
      </c>
      <c r="Z415" s="4"/>
      <c r="AA415" s="4"/>
      <c r="AB415" s="4"/>
    </row>
    <row r="416" spans="1:28">
      <c r="A416" s="4">
        <v>50</v>
      </c>
      <c r="B416" s="4">
        <v>1</v>
      </c>
      <c r="C416" s="4">
        <v>0</v>
      </c>
      <c r="D416" s="4">
        <v>2</v>
      </c>
      <c r="E416" s="4">
        <v>201</v>
      </c>
      <c r="F416" s="4">
        <f>ROUND(ROUND(F389,0),O416)</f>
        <v>404832</v>
      </c>
      <c r="G416" s="4" t="s">
        <v>138</v>
      </c>
      <c r="H416" s="4" t="s">
        <v>139</v>
      </c>
      <c r="I416" s="4"/>
      <c r="J416" s="4"/>
      <c r="K416" s="4">
        <v>212</v>
      </c>
      <c r="L416" s="4">
        <v>28</v>
      </c>
      <c r="M416" s="4">
        <v>0</v>
      </c>
      <c r="N416" s="4" t="s">
        <v>3</v>
      </c>
      <c r="O416" s="4">
        <v>0</v>
      </c>
      <c r="P416" s="4"/>
      <c r="Q416" s="4"/>
      <c r="R416" s="4"/>
      <c r="S416" s="4"/>
      <c r="T416" s="4"/>
      <c r="U416" s="4"/>
      <c r="V416" s="4"/>
      <c r="W416" s="4">
        <v>404832</v>
      </c>
      <c r="X416" s="4">
        <v>1</v>
      </c>
      <c r="Y416" s="4">
        <v>2403967</v>
      </c>
      <c r="Z416" s="4"/>
      <c r="AA416" s="4"/>
      <c r="AB416" s="4"/>
    </row>
    <row r="417" spans="1:28">
      <c r="A417" s="4">
        <v>50</v>
      </c>
      <c r="B417" s="4">
        <v>1</v>
      </c>
      <c r="C417" s="4">
        <v>0</v>
      </c>
      <c r="D417" s="4">
        <v>2</v>
      </c>
      <c r="E417" s="4">
        <v>210</v>
      </c>
      <c r="F417" s="4">
        <f>ROUND(ROUND(F413,0),O417)</f>
        <v>8490</v>
      </c>
      <c r="G417" s="4" t="s">
        <v>140</v>
      </c>
      <c r="H417" s="4" t="s">
        <v>133</v>
      </c>
      <c r="I417" s="4"/>
      <c r="J417" s="4"/>
      <c r="K417" s="4">
        <v>212</v>
      </c>
      <c r="L417" s="4">
        <v>29</v>
      </c>
      <c r="M417" s="4">
        <v>0</v>
      </c>
      <c r="N417" s="4" t="s">
        <v>3</v>
      </c>
      <c r="O417" s="4">
        <v>0</v>
      </c>
      <c r="P417" s="4"/>
      <c r="Q417" s="4"/>
      <c r="R417" s="4"/>
      <c r="S417" s="4"/>
      <c r="T417" s="4"/>
      <c r="U417" s="4"/>
      <c r="V417" s="4"/>
      <c r="W417" s="4">
        <v>8490</v>
      </c>
      <c r="X417" s="4">
        <v>1</v>
      </c>
      <c r="Y417" s="4">
        <v>245605</v>
      </c>
      <c r="Z417" s="4"/>
      <c r="AA417" s="4"/>
      <c r="AB417" s="4"/>
    </row>
    <row r="418" spans="1:28">
      <c r="A418" s="4">
        <v>50</v>
      </c>
      <c r="B418" s="4">
        <v>1</v>
      </c>
      <c r="C418" s="4">
        <v>0</v>
      </c>
      <c r="D418" s="4">
        <v>2</v>
      </c>
      <c r="E418" s="4">
        <v>211</v>
      </c>
      <c r="F418" s="4">
        <f>ROUND(ROUND(F414,0),O418)</f>
        <v>4595</v>
      </c>
      <c r="G418" s="4" t="s">
        <v>141</v>
      </c>
      <c r="H418" s="4" t="s">
        <v>135</v>
      </c>
      <c r="I418" s="4"/>
      <c r="J418" s="4"/>
      <c r="K418" s="4">
        <v>212</v>
      </c>
      <c r="L418" s="4">
        <v>30</v>
      </c>
      <c r="M418" s="4">
        <v>0</v>
      </c>
      <c r="N418" s="4" t="s">
        <v>3</v>
      </c>
      <c r="O418" s="4">
        <v>0</v>
      </c>
      <c r="P418" s="4"/>
      <c r="Q418" s="4"/>
      <c r="R418" s="4"/>
      <c r="S418" s="4"/>
      <c r="T418" s="4"/>
      <c r="U418" s="4"/>
      <c r="V418" s="4"/>
      <c r="W418" s="4">
        <v>4595</v>
      </c>
      <c r="X418" s="4">
        <v>1</v>
      </c>
      <c r="Y418" s="4">
        <v>132937</v>
      </c>
      <c r="Z418" s="4"/>
      <c r="AA418" s="4"/>
      <c r="AB418" s="4"/>
    </row>
    <row r="419" spans="1:28">
      <c r="A419" s="4">
        <v>50</v>
      </c>
      <c r="B419" s="4">
        <v>1</v>
      </c>
      <c r="C419" s="4">
        <v>0</v>
      </c>
      <c r="D419" s="4">
        <v>2</v>
      </c>
      <c r="E419" s="4">
        <v>213</v>
      </c>
      <c r="F419" s="4">
        <f>ROUND(F416+F417+F418,O419)</f>
        <v>417917</v>
      </c>
      <c r="G419" s="4" t="s">
        <v>142</v>
      </c>
      <c r="H419" s="4" t="s">
        <v>143</v>
      </c>
      <c r="I419" s="4"/>
      <c r="J419" s="4"/>
      <c r="K419" s="4">
        <v>212</v>
      </c>
      <c r="L419" s="4">
        <v>31</v>
      </c>
      <c r="M419" s="4">
        <v>0</v>
      </c>
      <c r="N419" s="4" t="s">
        <v>3</v>
      </c>
      <c r="O419" s="4">
        <v>2</v>
      </c>
      <c r="P419" s="4"/>
      <c r="Q419" s="4"/>
      <c r="R419" s="4"/>
      <c r="S419" s="4"/>
      <c r="T419" s="4"/>
      <c r="U419" s="4"/>
      <c r="V419" s="4"/>
      <c r="W419" s="4">
        <v>417917</v>
      </c>
      <c r="X419" s="4">
        <v>1</v>
      </c>
      <c r="Y419" s="4">
        <v>2782509</v>
      </c>
      <c r="Z419" s="4"/>
      <c r="AA419" s="4"/>
      <c r="AB419" s="4"/>
    </row>
    <row r="420" spans="1:28">
      <c r="A420" s="4">
        <v>50</v>
      </c>
      <c r="B420" s="4">
        <v>1</v>
      </c>
      <c r="C420" s="4">
        <v>0</v>
      </c>
      <c r="D420" s="4">
        <v>2</v>
      </c>
      <c r="E420" s="4">
        <v>0</v>
      </c>
      <c r="F420" s="4">
        <v>65486.51</v>
      </c>
      <c r="G420" s="4" t="s">
        <v>144</v>
      </c>
      <c r="H420" s="4" t="s">
        <v>145</v>
      </c>
      <c r="I420" s="4"/>
      <c r="J420" s="4"/>
      <c r="K420" s="4">
        <v>212</v>
      </c>
      <c r="L420" s="4">
        <v>32</v>
      </c>
      <c r="M420" s="4">
        <v>1</v>
      </c>
      <c r="N420" s="4" t="s">
        <v>3</v>
      </c>
      <c r="O420" s="4">
        <v>2</v>
      </c>
      <c r="P420" s="4"/>
      <c r="Q420" s="4"/>
      <c r="R420" s="4"/>
      <c r="S420" s="4"/>
      <c r="T420" s="4"/>
      <c r="U420" s="4"/>
      <c r="V420" s="4"/>
      <c r="W420" s="4">
        <v>65486.51</v>
      </c>
      <c r="X420" s="4">
        <v>1</v>
      </c>
      <c r="Y420" s="4">
        <v>65486.51</v>
      </c>
      <c r="Z420" s="4"/>
      <c r="AA420" s="4"/>
      <c r="AB420" s="4"/>
    </row>
    <row r="421" spans="1:28">
      <c r="A421" s="4">
        <v>50</v>
      </c>
      <c r="B421" s="4">
        <v>1</v>
      </c>
      <c r="C421" s="4">
        <v>0</v>
      </c>
      <c r="D421" s="4">
        <v>2</v>
      </c>
      <c r="E421" s="4">
        <v>0</v>
      </c>
      <c r="F421" s="4">
        <v>352204.45</v>
      </c>
      <c r="G421" s="4" t="s">
        <v>146</v>
      </c>
      <c r="H421" s="4" t="s">
        <v>147</v>
      </c>
      <c r="I421" s="4"/>
      <c r="J421" s="4"/>
      <c r="K421" s="4">
        <v>212</v>
      </c>
      <c r="L421" s="4">
        <v>33</v>
      </c>
      <c r="M421" s="4">
        <v>1</v>
      </c>
      <c r="N421" s="4" t="s">
        <v>3</v>
      </c>
      <c r="O421" s="4">
        <v>2</v>
      </c>
      <c r="P421" s="4"/>
      <c r="Q421" s="4"/>
      <c r="R421" s="4"/>
      <c r="S421" s="4"/>
      <c r="T421" s="4"/>
      <c r="U421" s="4"/>
      <c r="V421" s="4"/>
      <c r="W421" s="4">
        <v>352204.45</v>
      </c>
      <c r="X421" s="4">
        <v>1</v>
      </c>
      <c r="Y421" s="4">
        <v>352204.45</v>
      </c>
      <c r="Z421" s="4"/>
      <c r="AA421" s="4"/>
      <c r="AB421" s="4"/>
    </row>
    <row r="422" spans="1:28">
      <c r="A422" s="4">
        <v>50</v>
      </c>
      <c r="B422" s="4">
        <v>0</v>
      </c>
      <c r="C422" s="4">
        <v>0</v>
      </c>
      <c r="D422" s="4">
        <v>2</v>
      </c>
      <c r="E422" s="4">
        <v>0</v>
      </c>
      <c r="F422" s="4">
        <v>0</v>
      </c>
      <c r="G422" s="4" t="s">
        <v>148</v>
      </c>
      <c r="H422" s="4" t="s">
        <v>149</v>
      </c>
      <c r="I422" s="4"/>
      <c r="J422" s="4"/>
      <c r="K422" s="4">
        <v>212</v>
      </c>
      <c r="L422" s="4">
        <v>34</v>
      </c>
      <c r="M422" s="4">
        <v>1</v>
      </c>
      <c r="N422" s="4" t="s">
        <v>3</v>
      </c>
      <c r="O422" s="4">
        <v>2</v>
      </c>
      <c r="P422" s="4"/>
      <c r="Q422" s="4"/>
      <c r="R422" s="4"/>
      <c r="S422" s="4"/>
      <c r="T422" s="4"/>
      <c r="U422" s="4"/>
      <c r="V422" s="4"/>
      <c r="W422" s="4">
        <v>0</v>
      </c>
      <c r="X422" s="4">
        <v>1</v>
      </c>
      <c r="Y422" s="4">
        <v>0</v>
      </c>
      <c r="Z422" s="4"/>
      <c r="AA422" s="4"/>
      <c r="AB422" s="4"/>
    </row>
    <row r="423" spans="1:28">
      <c r="A423" s="4">
        <v>50</v>
      </c>
      <c r="B423" s="4">
        <v>1</v>
      </c>
      <c r="C423" s="4">
        <v>0</v>
      </c>
      <c r="D423" s="4">
        <v>2</v>
      </c>
      <c r="E423" s="4">
        <v>0</v>
      </c>
      <c r="F423" s="4">
        <v>225.87</v>
      </c>
      <c r="G423" s="4" t="s">
        <v>150</v>
      </c>
      <c r="H423" s="4" t="s">
        <v>151</v>
      </c>
      <c r="I423" s="4"/>
      <c r="J423" s="4"/>
      <c r="K423" s="4">
        <v>212</v>
      </c>
      <c r="L423" s="4">
        <v>35</v>
      </c>
      <c r="M423" s="4">
        <v>1</v>
      </c>
      <c r="N423" s="4" t="s">
        <v>3</v>
      </c>
      <c r="O423" s="4">
        <v>2</v>
      </c>
      <c r="P423" s="4"/>
      <c r="Q423" s="4"/>
      <c r="R423" s="4"/>
      <c r="S423" s="4"/>
      <c r="T423" s="4"/>
      <c r="U423" s="4"/>
      <c r="V423" s="4"/>
      <c r="W423" s="4">
        <v>225.87</v>
      </c>
      <c r="X423" s="4">
        <v>1</v>
      </c>
      <c r="Y423" s="4">
        <v>225.87</v>
      </c>
      <c r="Z423" s="4"/>
      <c r="AA423" s="4"/>
      <c r="AB423" s="4"/>
    </row>
    <row r="424" spans="1:28">
      <c r="A424" s="4">
        <v>50</v>
      </c>
      <c r="B424" s="4">
        <f>IF(Source!F424=0,1,0)</f>
        <v>1</v>
      </c>
      <c r="C424" s="4">
        <v>0</v>
      </c>
      <c r="D424" s="4">
        <v>2</v>
      </c>
      <c r="E424" s="4">
        <v>0</v>
      </c>
      <c r="F424" s="4">
        <f>ROUND(ROUND((F419-F420-F421-F422-F423),0),O424)</f>
        <v>0</v>
      </c>
      <c r="G424" s="4" t="s">
        <v>152</v>
      </c>
      <c r="H424" s="4" t="s">
        <v>153</v>
      </c>
      <c r="I424" s="4"/>
      <c r="J424" s="4"/>
      <c r="K424" s="4">
        <v>212</v>
      </c>
      <c r="L424" s="4">
        <v>36</v>
      </c>
      <c r="M424" s="4">
        <v>2</v>
      </c>
      <c r="N424" s="4" t="s">
        <v>3</v>
      </c>
      <c r="O424" s="4">
        <v>0</v>
      </c>
      <c r="P424" s="4"/>
      <c r="Q424" s="4"/>
      <c r="R424" s="4"/>
      <c r="S424" s="4"/>
      <c r="T424" s="4"/>
      <c r="U424" s="4"/>
      <c r="V424" s="4"/>
      <c r="W424" s="4">
        <v>0</v>
      </c>
      <c r="X424" s="4">
        <v>1</v>
      </c>
      <c r="Y424" s="4">
        <v>2364592</v>
      </c>
      <c r="Z424" s="4"/>
      <c r="AA424" s="4"/>
      <c r="AB424" s="4"/>
    </row>
    <row r="426" spans="1:28">
      <c r="A426">
        <v>71</v>
      </c>
      <c r="B426">
        <v>1</v>
      </c>
      <c r="D426">
        <v>200001</v>
      </c>
      <c r="E426">
        <v>39933202</v>
      </c>
      <c r="F426" t="s">
        <v>399</v>
      </c>
      <c r="G426" t="s">
        <v>400</v>
      </c>
      <c r="H426">
        <v>80</v>
      </c>
      <c r="I426">
        <v>20</v>
      </c>
    </row>
    <row r="429" spans="1:28">
      <c r="A429">
        <v>70</v>
      </c>
      <c r="B429">
        <v>1</v>
      </c>
      <c r="D429">
        <v>1</v>
      </c>
      <c r="E429" t="s">
        <v>401</v>
      </c>
      <c r="F429" t="s">
        <v>402</v>
      </c>
      <c r="G429">
        <v>1</v>
      </c>
      <c r="H429">
        <v>0</v>
      </c>
      <c r="I429" t="s">
        <v>3</v>
      </c>
      <c r="J429">
        <v>1</v>
      </c>
      <c r="K429">
        <v>0</v>
      </c>
      <c r="L429" t="s">
        <v>3</v>
      </c>
      <c r="M429" t="s">
        <v>3</v>
      </c>
      <c r="N429">
        <v>0</v>
      </c>
      <c r="P429" t="s">
        <v>403</v>
      </c>
    </row>
    <row r="430" spans="1:28">
      <c r="A430">
        <v>70</v>
      </c>
      <c r="B430">
        <v>1</v>
      </c>
      <c r="D430">
        <v>2</v>
      </c>
      <c r="E430" t="s">
        <v>404</v>
      </c>
      <c r="F430" t="s">
        <v>405</v>
      </c>
      <c r="G430">
        <v>0</v>
      </c>
      <c r="H430">
        <v>0</v>
      </c>
      <c r="I430" t="s">
        <v>3</v>
      </c>
      <c r="J430">
        <v>1</v>
      </c>
      <c r="K430">
        <v>0</v>
      </c>
      <c r="L430" t="s">
        <v>3</v>
      </c>
      <c r="M430" t="s">
        <v>3</v>
      </c>
      <c r="N430">
        <v>0</v>
      </c>
      <c r="P430" t="s">
        <v>406</v>
      </c>
    </row>
    <row r="431" spans="1:28">
      <c r="A431">
        <v>70</v>
      </c>
      <c r="B431">
        <v>1</v>
      </c>
      <c r="D431">
        <v>3</v>
      </c>
      <c r="E431" t="s">
        <v>407</v>
      </c>
      <c r="F431" t="s">
        <v>408</v>
      </c>
      <c r="G431">
        <v>0</v>
      </c>
      <c r="H431">
        <v>0</v>
      </c>
      <c r="I431" t="s">
        <v>3</v>
      </c>
      <c r="J431">
        <v>1</v>
      </c>
      <c r="K431">
        <v>0</v>
      </c>
      <c r="L431" t="s">
        <v>3</v>
      </c>
      <c r="M431" t="s">
        <v>3</v>
      </c>
      <c r="N431">
        <v>0</v>
      </c>
      <c r="P431" t="s">
        <v>409</v>
      </c>
    </row>
    <row r="432" spans="1:28">
      <c r="A432">
        <v>70</v>
      </c>
      <c r="B432">
        <v>1</v>
      </c>
      <c r="D432">
        <v>4</v>
      </c>
      <c r="E432" t="s">
        <v>410</v>
      </c>
      <c r="F432" t="s">
        <v>411</v>
      </c>
      <c r="G432">
        <v>1</v>
      </c>
      <c r="H432">
        <v>0</v>
      </c>
      <c r="I432" t="s">
        <v>3</v>
      </c>
      <c r="J432">
        <v>2</v>
      </c>
      <c r="K432">
        <v>0</v>
      </c>
      <c r="L432" t="s">
        <v>3</v>
      </c>
      <c r="M432" t="s">
        <v>3</v>
      </c>
      <c r="N432">
        <v>0</v>
      </c>
      <c r="P432" t="s">
        <v>3</v>
      </c>
    </row>
    <row r="433" spans="1:16">
      <c r="A433">
        <v>70</v>
      </c>
      <c r="B433">
        <v>1</v>
      </c>
      <c r="D433">
        <v>5</v>
      </c>
      <c r="E433" t="s">
        <v>412</v>
      </c>
      <c r="F433" t="s">
        <v>413</v>
      </c>
      <c r="G433">
        <v>0</v>
      </c>
      <c r="H433">
        <v>0</v>
      </c>
      <c r="I433" t="s">
        <v>3</v>
      </c>
      <c r="J433">
        <v>2</v>
      </c>
      <c r="K433">
        <v>0</v>
      </c>
      <c r="L433" t="s">
        <v>3</v>
      </c>
      <c r="M433" t="s">
        <v>3</v>
      </c>
      <c r="N433">
        <v>0</v>
      </c>
      <c r="P433" t="s">
        <v>3</v>
      </c>
    </row>
    <row r="434" spans="1:16">
      <c r="A434">
        <v>70</v>
      </c>
      <c r="B434">
        <v>1</v>
      </c>
      <c r="D434">
        <v>6</v>
      </c>
      <c r="E434" t="s">
        <v>414</v>
      </c>
      <c r="F434" t="s">
        <v>415</v>
      </c>
      <c r="G434">
        <v>0</v>
      </c>
      <c r="H434">
        <v>0</v>
      </c>
      <c r="I434" t="s">
        <v>3</v>
      </c>
      <c r="J434">
        <v>2</v>
      </c>
      <c r="K434">
        <v>0</v>
      </c>
      <c r="L434" t="s">
        <v>3</v>
      </c>
      <c r="M434" t="s">
        <v>3</v>
      </c>
      <c r="N434">
        <v>0</v>
      </c>
      <c r="P434" t="s">
        <v>3</v>
      </c>
    </row>
    <row r="435" spans="1:16">
      <c r="A435">
        <v>70</v>
      </c>
      <c r="B435">
        <v>1</v>
      </c>
      <c r="D435">
        <v>7</v>
      </c>
      <c r="E435" t="s">
        <v>416</v>
      </c>
      <c r="F435" t="s">
        <v>417</v>
      </c>
      <c r="G435">
        <v>0</v>
      </c>
      <c r="H435">
        <v>0</v>
      </c>
      <c r="I435" t="s">
        <v>418</v>
      </c>
      <c r="J435">
        <v>0</v>
      </c>
      <c r="K435">
        <v>0</v>
      </c>
      <c r="L435" t="s">
        <v>3</v>
      </c>
      <c r="M435" t="s">
        <v>3</v>
      </c>
      <c r="N435">
        <v>0</v>
      </c>
      <c r="P435" t="s">
        <v>419</v>
      </c>
    </row>
    <row r="436" spans="1:16">
      <c r="A436">
        <v>70</v>
      </c>
      <c r="B436">
        <v>1</v>
      </c>
      <c r="D436">
        <v>8</v>
      </c>
      <c r="E436" t="s">
        <v>420</v>
      </c>
      <c r="F436" t="s">
        <v>421</v>
      </c>
      <c r="G436">
        <v>0</v>
      </c>
      <c r="H436">
        <v>0</v>
      </c>
      <c r="I436" t="s">
        <v>422</v>
      </c>
      <c r="J436">
        <v>0</v>
      </c>
      <c r="K436">
        <v>0</v>
      </c>
      <c r="L436" t="s">
        <v>3</v>
      </c>
      <c r="M436" t="s">
        <v>3</v>
      </c>
      <c r="N436">
        <v>0</v>
      </c>
      <c r="P436" t="s">
        <v>420</v>
      </c>
    </row>
    <row r="437" spans="1:16">
      <c r="A437">
        <v>70</v>
      </c>
      <c r="B437">
        <v>1</v>
      </c>
      <c r="D437">
        <v>9</v>
      </c>
      <c r="E437" t="s">
        <v>423</v>
      </c>
      <c r="F437" t="s">
        <v>424</v>
      </c>
      <c r="G437">
        <v>0</v>
      </c>
      <c r="H437">
        <v>0</v>
      </c>
      <c r="I437" t="s">
        <v>425</v>
      </c>
      <c r="J437">
        <v>0</v>
      </c>
      <c r="K437">
        <v>0</v>
      </c>
      <c r="L437" t="s">
        <v>3</v>
      </c>
      <c r="M437" t="s">
        <v>3</v>
      </c>
      <c r="N437">
        <v>0</v>
      </c>
      <c r="P437" t="s">
        <v>426</v>
      </c>
    </row>
    <row r="438" spans="1:16">
      <c r="A438">
        <v>70</v>
      </c>
      <c r="B438">
        <v>1</v>
      </c>
      <c r="D438">
        <v>10</v>
      </c>
      <c r="E438" t="s">
        <v>427</v>
      </c>
      <c r="F438" t="s">
        <v>428</v>
      </c>
      <c r="G438">
        <v>0</v>
      </c>
      <c r="H438">
        <v>0</v>
      </c>
      <c r="I438" t="s">
        <v>429</v>
      </c>
      <c r="J438">
        <v>0</v>
      </c>
      <c r="K438">
        <v>0</v>
      </c>
      <c r="L438" t="s">
        <v>3</v>
      </c>
      <c r="M438" t="s">
        <v>3</v>
      </c>
      <c r="N438">
        <v>0</v>
      </c>
      <c r="P438" t="s">
        <v>430</v>
      </c>
    </row>
    <row r="439" spans="1:16">
      <c r="A439">
        <v>70</v>
      </c>
      <c r="B439">
        <v>1</v>
      </c>
      <c r="D439">
        <v>11</v>
      </c>
      <c r="E439" t="s">
        <v>431</v>
      </c>
      <c r="F439" t="s">
        <v>432</v>
      </c>
      <c r="G439">
        <v>0</v>
      </c>
      <c r="H439">
        <v>0</v>
      </c>
      <c r="I439" t="s">
        <v>433</v>
      </c>
      <c r="J439">
        <v>0</v>
      </c>
      <c r="K439">
        <v>0</v>
      </c>
      <c r="L439" t="s">
        <v>3</v>
      </c>
      <c r="M439" t="s">
        <v>3</v>
      </c>
      <c r="N439">
        <v>0</v>
      </c>
      <c r="P439" t="s">
        <v>434</v>
      </c>
    </row>
    <row r="440" spans="1:16">
      <c r="A440">
        <v>70</v>
      </c>
      <c r="B440">
        <v>1</v>
      </c>
      <c r="D440">
        <v>12</v>
      </c>
      <c r="E440" t="s">
        <v>435</v>
      </c>
      <c r="F440" t="s">
        <v>436</v>
      </c>
      <c r="G440">
        <v>0</v>
      </c>
      <c r="H440">
        <v>0</v>
      </c>
      <c r="I440" t="s">
        <v>3</v>
      </c>
      <c r="J440">
        <v>0</v>
      </c>
      <c r="K440">
        <v>0</v>
      </c>
      <c r="L440" t="s">
        <v>3</v>
      </c>
      <c r="M440" t="s">
        <v>3</v>
      </c>
      <c r="N440">
        <v>0</v>
      </c>
      <c r="P440" t="s">
        <v>437</v>
      </c>
    </row>
    <row r="441" spans="1:16">
      <c r="A441">
        <v>70</v>
      </c>
      <c r="B441">
        <v>1</v>
      </c>
      <c r="D441">
        <v>1</v>
      </c>
      <c r="E441" t="s">
        <v>438</v>
      </c>
      <c r="F441" t="s">
        <v>439</v>
      </c>
      <c r="G441">
        <v>0.9</v>
      </c>
      <c r="H441">
        <v>1</v>
      </c>
      <c r="I441" t="s">
        <v>440</v>
      </c>
      <c r="J441">
        <v>0</v>
      </c>
      <c r="K441">
        <v>0</v>
      </c>
      <c r="L441" t="s">
        <v>3</v>
      </c>
      <c r="M441" t="s">
        <v>3</v>
      </c>
      <c r="N441">
        <v>0</v>
      </c>
      <c r="P441" t="s">
        <v>441</v>
      </c>
    </row>
    <row r="442" spans="1:16">
      <c r="A442">
        <v>70</v>
      </c>
      <c r="B442">
        <v>1</v>
      </c>
      <c r="D442">
        <v>2</v>
      </c>
      <c r="E442" t="s">
        <v>442</v>
      </c>
      <c r="F442" t="s">
        <v>443</v>
      </c>
      <c r="G442">
        <v>0.85</v>
      </c>
      <c r="H442">
        <v>1</v>
      </c>
      <c r="I442" t="s">
        <v>444</v>
      </c>
      <c r="J442">
        <v>0</v>
      </c>
      <c r="K442">
        <v>0</v>
      </c>
      <c r="L442" t="s">
        <v>3</v>
      </c>
      <c r="M442" t="s">
        <v>3</v>
      </c>
      <c r="N442">
        <v>0</v>
      </c>
      <c r="P442" t="s">
        <v>445</v>
      </c>
    </row>
    <row r="443" spans="1:16">
      <c r="A443">
        <v>70</v>
      </c>
      <c r="B443">
        <v>1</v>
      </c>
      <c r="D443">
        <v>3</v>
      </c>
      <c r="E443" t="s">
        <v>446</v>
      </c>
      <c r="F443" t="s">
        <v>447</v>
      </c>
      <c r="G443">
        <v>1.03</v>
      </c>
      <c r="H443">
        <v>0</v>
      </c>
      <c r="I443" t="s">
        <v>3</v>
      </c>
      <c r="J443">
        <v>0</v>
      </c>
      <c r="K443">
        <v>0</v>
      </c>
      <c r="L443" t="s">
        <v>3</v>
      </c>
      <c r="M443" t="s">
        <v>3</v>
      </c>
      <c r="N443">
        <v>0</v>
      </c>
      <c r="P443" t="s">
        <v>448</v>
      </c>
    </row>
    <row r="444" spans="1:16">
      <c r="A444">
        <v>70</v>
      </c>
      <c r="B444">
        <v>1</v>
      </c>
      <c r="D444">
        <v>4</v>
      </c>
      <c r="E444" t="s">
        <v>449</v>
      </c>
      <c r="F444" t="s">
        <v>450</v>
      </c>
      <c r="G444">
        <v>1.0900000000000001</v>
      </c>
      <c r="H444">
        <v>0</v>
      </c>
      <c r="I444" t="s">
        <v>3</v>
      </c>
      <c r="J444">
        <v>0</v>
      </c>
      <c r="K444">
        <v>0</v>
      </c>
      <c r="L444" t="s">
        <v>3</v>
      </c>
      <c r="M444" t="s">
        <v>3</v>
      </c>
      <c r="N444">
        <v>0</v>
      </c>
      <c r="P444" t="s">
        <v>451</v>
      </c>
    </row>
    <row r="445" spans="1:16">
      <c r="A445">
        <v>70</v>
      </c>
      <c r="B445">
        <v>1</v>
      </c>
      <c r="D445">
        <v>5</v>
      </c>
      <c r="E445" t="s">
        <v>452</v>
      </c>
      <c r="F445" t="s">
        <v>453</v>
      </c>
      <c r="G445">
        <v>7</v>
      </c>
      <c r="H445">
        <v>0</v>
      </c>
      <c r="I445" t="s">
        <v>3</v>
      </c>
      <c r="J445">
        <v>0</v>
      </c>
      <c r="K445">
        <v>0</v>
      </c>
      <c r="L445" t="s">
        <v>3</v>
      </c>
      <c r="M445" t="s">
        <v>3</v>
      </c>
      <c r="N445">
        <v>0</v>
      </c>
      <c r="P445" t="s">
        <v>3</v>
      </c>
    </row>
    <row r="446" spans="1:16">
      <c r="A446">
        <v>70</v>
      </c>
      <c r="B446">
        <v>1</v>
      </c>
      <c r="D446">
        <v>6</v>
      </c>
      <c r="E446" t="s">
        <v>454</v>
      </c>
      <c r="F446" t="s">
        <v>3</v>
      </c>
      <c r="G446">
        <v>2</v>
      </c>
      <c r="H446">
        <v>0</v>
      </c>
      <c r="I446" t="s">
        <v>3</v>
      </c>
      <c r="J446">
        <v>0</v>
      </c>
      <c r="K446">
        <v>0</v>
      </c>
      <c r="L446" t="s">
        <v>3</v>
      </c>
      <c r="M446" t="s">
        <v>3</v>
      </c>
      <c r="N446">
        <v>0</v>
      </c>
      <c r="P446" t="s">
        <v>3</v>
      </c>
    </row>
    <row r="448" spans="1:16">
      <c r="A448">
        <v>-1</v>
      </c>
    </row>
    <row r="450" spans="1:40">
      <c r="A450" s="3">
        <v>75</v>
      </c>
      <c r="B450" s="3" t="s">
        <v>455</v>
      </c>
      <c r="C450" s="3">
        <v>2023</v>
      </c>
      <c r="D450" s="3">
        <v>0</v>
      </c>
      <c r="E450" s="3">
        <v>9</v>
      </c>
      <c r="F450" s="3"/>
      <c r="G450" s="3">
        <v>0</v>
      </c>
      <c r="H450" s="3">
        <v>1</v>
      </c>
      <c r="I450" s="3">
        <v>0</v>
      </c>
      <c r="J450" s="3">
        <v>1</v>
      </c>
      <c r="K450" s="3">
        <v>0</v>
      </c>
      <c r="L450" s="3">
        <v>0</v>
      </c>
      <c r="M450" s="3">
        <v>0</v>
      </c>
      <c r="N450" s="3">
        <v>47920234</v>
      </c>
      <c r="O450" s="3">
        <v>1</v>
      </c>
    </row>
    <row r="451" spans="1:40">
      <c r="A451" s="5">
        <v>3</v>
      </c>
      <c r="B451" s="5" t="s">
        <v>456</v>
      </c>
      <c r="C451" s="5">
        <v>1</v>
      </c>
      <c r="D451" s="5">
        <v>5.15</v>
      </c>
      <c r="E451" s="5">
        <v>7.72</v>
      </c>
      <c r="F451" s="5">
        <v>28.93</v>
      </c>
      <c r="G451" s="5">
        <v>28.93</v>
      </c>
      <c r="H451" s="5">
        <v>1</v>
      </c>
      <c r="I451" s="5">
        <v>1</v>
      </c>
      <c r="J451" s="5">
        <v>2</v>
      </c>
      <c r="K451" s="5">
        <v>28.93</v>
      </c>
      <c r="L451" s="5">
        <v>7.72</v>
      </c>
      <c r="M451" s="5">
        <v>1</v>
      </c>
      <c r="N451" s="5">
        <v>5.15</v>
      </c>
      <c r="O451" s="5">
        <v>1</v>
      </c>
      <c r="P451" s="5">
        <v>1</v>
      </c>
      <c r="Q451" s="5">
        <v>28.93</v>
      </c>
      <c r="R451" s="5">
        <v>7.72</v>
      </c>
      <c r="S451" s="5" t="s">
        <v>3</v>
      </c>
      <c r="T451" s="5" t="s">
        <v>3</v>
      </c>
      <c r="U451" s="5" t="s">
        <v>3</v>
      </c>
      <c r="V451" s="5" t="s">
        <v>3</v>
      </c>
      <c r="W451" s="5" t="s">
        <v>3</v>
      </c>
      <c r="X451" s="5" t="s">
        <v>3</v>
      </c>
      <c r="Y451" s="5" t="s">
        <v>3</v>
      </c>
      <c r="Z451" s="5" t="s">
        <v>3</v>
      </c>
      <c r="AA451" s="5" t="s">
        <v>3</v>
      </c>
      <c r="AB451" s="5" t="s">
        <v>3</v>
      </c>
      <c r="AC451" s="5" t="s">
        <v>3</v>
      </c>
      <c r="AD451" s="5" t="s">
        <v>3</v>
      </c>
      <c r="AE451" s="5" t="s">
        <v>3</v>
      </c>
      <c r="AF451" s="5" t="s">
        <v>3</v>
      </c>
      <c r="AG451" s="5" t="s">
        <v>3</v>
      </c>
      <c r="AH451" s="5" t="s">
        <v>3</v>
      </c>
      <c r="AI451" s="5"/>
      <c r="AJ451" s="5"/>
      <c r="AK451" s="5"/>
      <c r="AL451" s="5"/>
      <c r="AM451" s="5"/>
      <c r="AN451" s="5">
        <v>47920235</v>
      </c>
    </row>
    <row r="455" spans="1:40">
      <c r="A455">
        <v>65</v>
      </c>
      <c r="C455">
        <v>1</v>
      </c>
      <c r="D455">
        <v>0</v>
      </c>
      <c r="E455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C61"/>
  <sheetViews>
    <sheetView workbookViewId="0"/>
  </sheetViews>
  <sheetFormatPr defaultColWidth="9.140625" defaultRowHeight="12.75"/>
  <cols>
    <col min="1" max="256" width="9.140625" customWidth="1"/>
  </cols>
  <sheetData>
    <row r="1" spans="1:133">
      <c r="A1">
        <v>0</v>
      </c>
      <c r="B1" t="s">
        <v>0</v>
      </c>
      <c r="D1" t="s">
        <v>457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40117</v>
      </c>
      <c r="M1">
        <v>10</v>
      </c>
      <c r="N1">
        <v>11</v>
      </c>
      <c r="O1">
        <v>5</v>
      </c>
      <c r="P1">
        <v>3</v>
      </c>
      <c r="Q1">
        <v>2</v>
      </c>
    </row>
    <row r="12" spans="1:133">
      <c r="A12" s="1">
        <v>1</v>
      </c>
      <c r="B12" s="1">
        <v>60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131078</v>
      </c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>
        <v>3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>
        <v>2</v>
      </c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3</v>
      </c>
      <c r="CF12" s="1">
        <v>0</v>
      </c>
      <c r="CG12" s="1">
        <v>0</v>
      </c>
      <c r="CH12" s="1">
        <v>403177480</v>
      </c>
      <c r="CI12" s="1" t="s">
        <v>3</v>
      </c>
      <c r="CJ12" s="1" t="s">
        <v>3</v>
      </c>
      <c r="CK12" s="1">
        <v>0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>
      <c r="A14" s="1">
        <v>22</v>
      </c>
      <c r="B14" s="1">
        <v>1</v>
      </c>
      <c r="C14" s="1">
        <v>0</v>
      </c>
      <c r="D14" s="1">
        <v>47920234</v>
      </c>
      <c r="E14" s="1">
        <v>0</v>
      </c>
      <c r="F14" s="1">
        <v>2</v>
      </c>
      <c r="G14" s="1">
        <v>1</v>
      </c>
      <c r="H14" s="1"/>
      <c r="I14" s="1"/>
      <c r="J14" s="1"/>
      <c r="K14" s="1"/>
      <c r="L14" s="1"/>
      <c r="M14" s="1"/>
      <c r="N14" s="1"/>
      <c r="O14" s="1"/>
    </row>
    <row r="16" spans="1:133">
      <c r="A16" s="6">
        <v>3</v>
      </c>
      <c r="B16" s="6">
        <v>0</v>
      </c>
      <c r="C16" s="6" t="s">
        <v>3</v>
      </c>
      <c r="D16" s="6" t="s">
        <v>11</v>
      </c>
      <c r="E16" s="7">
        <v>650.63</v>
      </c>
      <c r="F16" s="7">
        <v>2125.34</v>
      </c>
      <c r="G16" s="7">
        <v>0</v>
      </c>
      <c r="H16" s="7">
        <v>6.53</v>
      </c>
      <c r="I16" s="7">
        <v>2782.5</v>
      </c>
      <c r="J16" s="7">
        <v>246.56</v>
      </c>
      <c r="AI16" s="6">
        <v>0</v>
      </c>
      <c r="AJ16" s="6">
        <v>-1</v>
      </c>
      <c r="AK16" s="6" t="s">
        <v>3</v>
      </c>
      <c r="AL16" s="6" t="s">
        <v>3</v>
      </c>
      <c r="AM16" s="6" t="s">
        <v>3</v>
      </c>
      <c r="AN16" s="6">
        <v>0</v>
      </c>
      <c r="AO16" s="6" t="s">
        <v>3</v>
      </c>
      <c r="AP16" s="6" t="s">
        <v>3</v>
      </c>
      <c r="AT16" s="7">
        <v>2403967</v>
      </c>
      <c r="AU16" s="7">
        <v>0</v>
      </c>
      <c r="AV16" s="7">
        <v>0</v>
      </c>
      <c r="AW16" s="7">
        <v>0</v>
      </c>
      <c r="AX16" s="7">
        <v>0</v>
      </c>
      <c r="AY16" s="7">
        <v>435243.26</v>
      </c>
      <c r="AZ16" s="7">
        <v>40117.22</v>
      </c>
      <c r="BA16" s="7">
        <v>206435.8</v>
      </c>
      <c r="BB16" s="7">
        <v>650630.77999999991</v>
      </c>
      <c r="BC16" s="7">
        <v>2125344.46</v>
      </c>
      <c r="BD16" s="7">
        <v>6534.59</v>
      </c>
      <c r="BE16" s="7">
        <v>0</v>
      </c>
      <c r="BF16" s="7">
        <v>809.20273139999995</v>
      </c>
      <c r="BG16" s="7">
        <v>132.88028829999999</v>
      </c>
      <c r="BH16" s="7">
        <v>0</v>
      </c>
      <c r="BI16" s="7">
        <v>245605</v>
      </c>
      <c r="BJ16" s="7">
        <v>132937</v>
      </c>
      <c r="BK16" s="7">
        <v>2782509.83</v>
      </c>
    </row>
    <row r="18" spans="1:19">
      <c r="A18">
        <v>51</v>
      </c>
      <c r="E18" s="8">
        <f>SUMIF(A16:A17,3,E16:E17)</f>
        <v>650.63</v>
      </c>
      <c r="F18" s="8">
        <f>SUMIF(A16:A17,3,F16:F17)</f>
        <v>2125.34</v>
      </c>
      <c r="G18" s="8">
        <f>SUMIF(A16:A17,3,G16:G17)</f>
        <v>0</v>
      </c>
      <c r="H18" s="8">
        <f>SUMIF(A16:A17,3,H16:H17)</f>
        <v>6.53</v>
      </c>
      <c r="I18" s="8">
        <f>SUMIF(A16:A17,3,I16:I17)</f>
        <v>2782.5</v>
      </c>
      <c r="J18" s="8">
        <f>SUMIF(A16:A17,3,J16:J17)</f>
        <v>246.56</v>
      </c>
      <c r="K18" s="8"/>
      <c r="L18" s="8"/>
      <c r="M18" s="8"/>
      <c r="N18" s="8"/>
      <c r="O18" s="8"/>
      <c r="P18" s="8"/>
      <c r="Q18" s="8"/>
      <c r="R18" s="8"/>
      <c r="S18" s="8"/>
    </row>
    <row r="20" spans="1:19">
      <c r="A20" s="4">
        <v>50</v>
      </c>
      <c r="B20" s="4">
        <v>0</v>
      </c>
      <c r="C20" s="4">
        <v>0</v>
      </c>
      <c r="D20" s="4">
        <v>1</v>
      </c>
      <c r="E20" s="4">
        <v>0</v>
      </c>
      <c r="F20" s="4">
        <v>2403967.39</v>
      </c>
      <c r="G20" s="4" t="s">
        <v>84</v>
      </c>
      <c r="H20" s="4" t="s">
        <v>85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9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0</v>
      </c>
      <c r="G21" s="4" t="s">
        <v>86</v>
      </c>
      <c r="H21" s="4" t="s">
        <v>87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9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88</v>
      </c>
      <c r="H22" s="4" t="s">
        <v>89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9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0</v>
      </c>
      <c r="G23" s="4" t="s">
        <v>90</v>
      </c>
      <c r="H23" s="4" t="s">
        <v>91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9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1748763.97</v>
      </c>
      <c r="G24" s="4" t="s">
        <v>92</v>
      </c>
      <c r="H24" s="4" t="s">
        <v>93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9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94</v>
      </c>
      <c r="H25" s="4" t="s">
        <v>95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9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1748763.97</v>
      </c>
      <c r="G26" s="4" t="s">
        <v>96</v>
      </c>
      <c r="H26" s="4" t="s">
        <v>97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9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98</v>
      </c>
      <c r="H27" s="4" t="s">
        <v>99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9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100</v>
      </c>
      <c r="H28" s="4" t="s">
        <v>101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9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102</v>
      </c>
      <c r="H29" s="4" t="s">
        <v>103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9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435243.26</v>
      </c>
      <c r="G30" s="4" t="s">
        <v>104</v>
      </c>
      <c r="H30" s="4" t="s">
        <v>105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9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106</v>
      </c>
      <c r="H31" s="4" t="s">
        <v>107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9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40117.22</v>
      </c>
      <c r="G32" s="4" t="s">
        <v>108</v>
      </c>
      <c r="H32" s="4" t="s">
        <v>109</v>
      </c>
      <c r="I32" s="4"/>
      <c r="J32" s="4"/>
      <c r="K32" s="4">
        <v>204</v>
      </c>
      <c r="L32" s="4">
        <v>13</v>
      </c>
      <c r="M32" s="4">
        <v>3</v>
      </c>
      <c r="N32" s="4" t="s">
        <v>3</v>
      </c>
      <c r="O32" s="4">
        <v>2</v>
      </c>
      <c r="P32" s="4"/>
    </row>
    <row r="33" spans="1:16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206435.80000000008</v>
      </c>
      <c r="G33" s="4" t="s">
        <v>110</v>
      </c>
      <c r="H33" s="4" t="s">
        <v>111</v>
      </c>
      <c r="I33" s="4"/>
      <c r="J33" s="4"/>
      <c r="K33" s="4">
        <v>205</v>
      </c>
      <c r="L33" s="4">
        <v>14</v>
      </c>
      <c r="M33" s="4">
        <v>3</v>
      </c>
      <c r="N33" s="4" t="s">
        <v>3</v>
      </c>
      <c r="O33" s="4">
        <v>2</v>
      </c>
      <c r="P33" s="4"/>
    </row>
    <row r="34" spans="1:16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112</v>
      </c>
      <c r="H34" s="4" t="s">
        <v>113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650630.77999999991</v>
      </c>
      <c r="G35" s="4" t="s">
        <v>114</v>
      </c>
      <c r="H35" s="4" t="s">
        <v>115</v>
      </c>
      <c r="I35" s="4"/>
      <c r="J35" s="4"/>
      <c r="K35" s="4">
        <v>214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2125344.46</v>
      </c>
      <c r="G36" s="4" t="s">
        <v>116</v>
      </c>
      <c r="H36" s="4" t="s">
        <v>117</v>
      </c>
      <c r="I36" s="4"/>
      <c r="J36" s="4"/>
      <c r="K36" s="4">
        <v>215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6534.59</v>
      </c>
      <c r="G37" s="4" t="s">
        <v>118</v>
      </c>
      <c r="H37" s="4" t="s">
        <v>119</v>
      </c>
      <c r="I37" s="4"/>
      <c r="J37" s="4"/>
      <c r="K37" s="4">
        <v>217</v>
      </c>
      <c r="L37" s="4">
        <v>18</v>
      </c>
      <c r="M37" s="4">
        <v>3</v>
      </c>
      <c r="N37" s="4" t="s">
        <v>3</v>
      </c>
      <c r="O37" s="4">
        <v>2</v>
      </c>
      <c r="P37" s="4"/>
    </row>
    <row r="38" spans="1:16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120</v>
      </c>
      <c r="H38" s="4" t="s">
        <v>121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2</v>
      </c>
      <c r="P38" s="4"/>
    </row>
    <row r="39" spans="1:16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122</v>
      </c>
      <c r="H39" s="4" t="s">
        <v>123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2</v>
      </c>
      <c r="P39" s="4"/>
    </row>
    <row r="40" spans="1:16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809.20273139999995</v>
      </c>
      <c r="G40" s="4" t="s">
        <v>124</v>
      </c>
      <c r="H40" s="4" t="s">
        <v>125</v>
      </c>
      <c r="I40" s="4"/>
      <c r="J40" s="4"/>
      <c r="K40" s="4">
        <v>207</v>
      </c>
      <c r="L40" s="4">
        <v>21</v>
      </c>
      <c r="M40" s="4">
        <v>3</v>
      </c>
      <c r="N40" s="4" t="s">
        <v>3</v>
      </c>
      <c r="O40" s="4">
        <v>-1</v>
      </c>
      <c r="P40" s="4"/>
    </row>
    <row r="41" spans="1:16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132.88028829999999</v>
      </c>
      <c r="G41" s="4" t="s">
        <v>126</v>
      </c>
      <c r="H41" s="4" t="s">
        <v>127</v>
      </c>
      <c r="I41" s="4"/>
      <c r="J41" s="4"/>
      <c r="K41" s="4">
        <v>208</v>
      </c>
      <c r="L41" s="4">
        <v>22</v>
      </c>
      <c r="M41" s="4">
        <v>3</v>
      </c>
      <c r="N41" s="4" t="s">
        <v>3</v>
      </c>
      <c r="O41" s="4">
        <v>-1</v>
      </c>
      <c r="P41" s="4"/>
    </row>
    <row r="42" spans="1:16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0</v>
      </c>
      <c r="G42" s="4" t="s">
        <v>128</v>
      </c>
      <c r="H42" s="4" t="s">
        <v>129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2</v>
      </c>
      <c r="P42" s="4"/>
    </row>
    <row r="43" spans="1:16">
      <c r="A43" s="4">
        <v>50</v>
      </c>
      <c r="B43" s="4">
        <v>0</v>
      </c>
      <c r="C43" s="4">
        <v>0</v>
      </c>
      <c r="D43" s="4">
        <v>1</v>
      </c>
      <c r="E43" s="4">
        <v>233</v>
      </c>
      <c r="F43" s="4">
        <v>13524.36</v>
      </c>
      <c r="G43" s="4" t="s">
        <v>130</v>
      </c>
      <c r="H43" s="4" t="s">
        <v>131</v>
      </c>
      <c r="I43" s="4"/>
      <c r="J43" s="4"/>
      <c r="K43" s="4">
        <v>233</v>
      </c>
      <c r="L43" s="4">
        <v>24</v>
      </c>
      <c r="M43" s="4">
        <v>3</v>
      </c>
      <c r="N43" s="4" t="s">
        <v>3</v>
      </c>
      <c r="O43" s="4">
        <v>2</v>
      </c>
      <c r="P43" s="4"/>
    </row>
    <row r="44" spans="1:16">
      <c r="A44" s="4">
        <v>50</v>
      </c>
      <c r="B44" s="4">
        <v>0</v>
      </c>
      <c r="C44" s="4">
        <v>0</v>
      </c>
      <c r="D44" s="4">
        <v>1</v>
      </c>
      <c r="E44" s="4">
        <v>0</v>
      </c>
      <c r="F44" s="4">
        <v>245605.11000000002</v>
      </c>
      <c r="G44" s="4" t="s">
        <v>132</v>
      </c>
      <c r="H44" s="4" t="s">
        <v>133</v>
      </c>
      <c r="I44" s="4"/>
      <c r="J44" s="4"/>
      <c r="K44" s="4">
        <v>210</v>
      </c>
      <c r="L44" s="4">
        <v>25</v>
      </c>
      <c r="M44" s="4">
        <v>3</v>
      </c>
      <c r="N44" s="4" t="s">
        <v>3</v>
      </c>
      <c r="O44" s="4">
        <v>2</v>
      </c>
      <c r="P44" s="4"/>
    </row>
    <row r="45" spans="1:16">
      <c r="A45" s="4">
        <v>50</v>
      </c>
      <c r="B45" s="4">
        <v>0</v>
      </c>
      <c r="C45" s="4">
        <v>0</v>
      </c>
      <c r="D45" s="4">
        <v>1</v>
      </c>
      <c r="E45" s="4">
        <v>0</v>
      </c>
      <c r="F45" s="4">
        <v>132937.33000000002</v>
      </c>
      <c r="G45" s="4" t="s">
        <v>134</v>
      </c>
      <c r="H45" s="4" t="s">
        <v>135</v>
      </c>
      <c r="I45" s="4"/>
      <c r="J45" s="4"/>
      <c r="K45" s="4">
        <v>211</v>
      </c>
      <c r="L45" s="4">
        <v>26</v>
      </c>
      <c r="M45" s="4">
        <v>3</v>
      </c>
      <c r="N45" s="4" t="s">
        <v>3</v>
      </c>
      <c r="O45" s="4">
        <v>2</v>
      </c>
      <c r="P45" s="4"/>
    </row>
    <row r="46" spans="1:16">
      <c r="A46" s="4">
        <v>50</v>
      </c>
      <c r="B46" s="4">
        <v>0</v>
      </c>
      <c r="C46" s="4">
        <v>0</v>
      </c>
      <c r="D46" s="4">
        <v>1</v>
      </c>
      <c r="E46" s="4">
        <v>224</v>
      </c>
      <c r="F46" s="4">
        <v>2782509.83</v>
      </c>
      <c r="G46" s="4" t="s">
        <v>136</v>
      </c>
      <c r="H46" s="4" t="s">
        <v>137</v>
      </c>
      <c r="I46" s="4"/>
      <c r="J46" s="4"/>
      <c r="K46" s="4">
        <v>224</v>
      </c>
      <c r="L46" s="4">
        <v>27</v>
      </c>
      <c r="M46" s="4">
        <v>3</v>
      </c>
      <c r="N46" s="4" t="s">
        <v>3</v>
      </c>
      <c r="O46" s="4">
        <v>2</v>
      </c>
      <c r="P46" s="4"/>
    </row>
    <row r="47" spans="1:16">
      <c r="A47" s="4">
        <v>50</v>
      </c>
      <c r="B47" s="4">
        <v>1</v>
      </c>
      <c r="C47" s="4">
        <v>0</v>
      </c>
      <c r="D47" s="4">
        <v>2</v>
      </c>
      <c r="E47" s="4">
        <v>201</v>
      </c>
      <c r="F47" s="4">
        <v>2403967</v>
      </c>
      <c r="G47" s="4" t="s">
        <v>138</v>
      </c>
      <c r="H47" s="4" t="s">
        <v>139</v>
      </c>
      <c r="I47" s="4"/>
      <c r="J47" s="4"/>
      <c r="K47" s="4">
        <v>212</v>
      </c>
      <c r="L47" s="4">
        <v>28</v>
      </c>
      <c r="M47" s="4">
        <v>0</v>
      </c>
      <c r="N47" s="4" t="s">
        <v>3</v>
      </c>
      <c r="O47" s="4">
        <v>0</v>
      </c>
      <c r="P47" s="4"/>
    </row>
    <row r="48" spans="1:16">
      <c r="A48" s="4">
        <v>50</v>
      </c>
      <c r="B48" s="4">
        <v>1</v>
      </c>
      <c r="C48" s="4">
        <v>0</v>
      </c>
      <c r="D48" s="4">
        <v>2</v>
      </c>
      <c r="E48" s="4">
        <v>210</v>
      </c>
      <c r="F48" s="4">
        <v>245605</v>
      </c>
      <c r="G48" s="4" t="s">
        <v>140</v>
      </c>
      <c r="H48" s="4" t="s">
        <v>133</v>
      </c>
      <c r="I48" s="4"/>
      <c r="J48" s="4"/>
      <c r="K48" s="4">
        <v>212</v>
      </c>
      <c r="L48" s="4">
        <v>29</v>
      </c>
      <c r="M48" s="4">
        <v>0</v>
      </c>
      <c r="N48" s="4" t="s">
        <v>3</v>
      </c>
      <c r="O48" s="4">
        <v>0</v>
      </c>
      <c r="P48" s="4"/>
    </row>
    <row r="49" spans="1:40">
      <c r="A49" s="4">
        <v>50</v>
      </c>
      <c r="B49" s="4">
        <v>1</v>
      </c>
      <c r="C49" s="4">
        <v>0</v>
      </c>
      <c r="D49" s="4">
        <v>2</v>
      </c>
      <c r="E49" s="4">
        <v>211</v>
      </c>
      <c r="F49" s="4">
        <v>132937</v>
      </c>
      <c r="G49" s="4" t="s">
        <v>141</v>
      </c>
      <c r="H49" s="4" t="s">
        <v>135</v>
      </c>
      <c r="I49" s="4"/>
      <c r="J49" s="4"/>
      <c r="K49" s="4">
        <v>212</v>
      </c>
      <c r="L49" s="4">
        <v>30</v>
      </c>
      <c r="M49" s="4">
        <v>0</v>
      </c>
      <c r="N49" s="4" t="s">
        <v>3</v>
      </c>
      <c r="O49" s="4">
        <v>0</v>
      </c>
      <c r="P49" s="4"/>
    </row>
    <row r="50" spans="1:40">
      <c r="A50" s="4">
        <v>50</v>
      </c>
      <c r="B50" s="4">
        <v>1</v>
      </c>
      <c r="C50" s="4">
        <v>0</v>
      </c>
      <c r="D50" s="4">
        <v>2</v>
      </c>
      <c r="E50" s="4">
        <v>213</v>
      </c>
      <c r="F50" s="4">
        <v>2782509</v>
      </c>
      <c r="G50" s="4" t="s">
        <v>142</v>
      </c>
      <c r="H50" s="4" t="s">
        <v>143</v>
      </c>
      <c r="I50" s="4"/>
      <c r="J50" s="4"/>
      <c r="K50" s="4">
        <v>212</v>
      </c>
      <c r="L50" s="4">
        <v>31</v>
      </c>
      <c r="M50" s="4">
        <v>0</v>
      </c>
      <c r="N50" s="4" t="s">
        <v>3</v>
      </c>
      <c r="O50" s="4">
        <v>2</v>
      </c>
      <c r="P50" s="4"/>
    </row>
    <row r="51" spans="1:40">
      <c r="A51" s="4">
        <v>50</v>
      </c>
      <c r="B51" s="4">
        <f>IF(SourceObSm!F51&lt;&gt;0,1,0)</f>
        <v>1</v>
      </c>
      <c r="C51" s="4">
        <v>0</v>
      </c>
      <c r="D51" s="4">
        <v>2</v>
      </c>
      <c r="E51" s="4">
        <v>0</v>
      </c>
      <c r="F51" s="4">
        <v>65486.51</v>
      </c>
      <c r="G51" s="4" t="s">
        <v>144</v>
      </c>
      <c r="H51" s="4" t="s">
        <v>145</v>
      </c>
      <c r="I51" s="4"/>
      <c r="J51" s="4"/>
      <c r="K51" s="4">
        <v>212</v>
      </c>
      <c r="L51" s="4">
        <v>32</v>
      </c>
      <c r="M51" s="4">
        <v>1</v>
      </c>
      <c r="N51" s="4" t="s">
        <v>3</v>
      </c>
      <c r="O51" s="4">
        <v>2</v>
      </c>
      <c r="P51" s="4"/>
    </row>
    <row r="52" spans="1:40">
      <c r="A52" s="4">
        <v>50</v>
      </c>
      <c r="B52" s="4">
        <f>IF(SourceObSm!F52&lt;&gt;0,1,0)</f>
        <v>1</v>
      </c>
      <c r="C52" s="4">
        <v>0</v>
      </c>
      <c r="D52" s="4">
        <v>2</v>
      </c>
      <c r="E52" s="4">
        <v>0</v>
      </c>
      <c r="F52" s="4">
        <v>352204.45</v>
      </c>
      <c r="G52" s="4" t="s">
        <v>146</v>
      </c>
      <c r="H52" s="4" t="s">
        <v>147</v>
      </c>
      <c r="I52" s="4"/>
      <c r="J52" s="4"/>
      <c r="K52" s="4">
        <v>212</v>
      </c>
      <c r="L52" s="4">
        <v>33</v>
      </c>
      <c r="M52" s="4">
        <v>1</v>
      </c>
      <c r="N52" s="4" t="s">
        <v>3</v>
      </c>
      <c r="O52" s="4">
        <v>2</v>
      </c>
      <c r="P52" s="4"/>
    </row>
    <row r="53" spans="1:40">
      <c r="A53" s="4">
        <v>50</v>
      </c>
      <c r="B53" s="4">
        <f>IF(SourceObSm!F53&lt;&gt;0,1,0)</f>
        <v>0</v>
      </c>
      <c r="C53" s="4">
        <v>0</v>
      </c>
      <c r="D53" s="4">
        <v>2</v>
      </c>
      <c r="E53" s="4">
        <v>0</v>
      </c>
      <c r="F53" s="4">
        <v>0</v>
      </c>
      <c r="G53" s="4" t="s">
        <v>148</v>
      </c>
      <c r="H53" s="4" t="s">
        <v>149</v>
      </c>
      <c r="I53" s="4"/>
      <c r="J53" s="4"/>
      <c r="K53" s="4">
        <v>212</v>
      </c>
      <c r="L53" s="4">
        <v>34</v>
      </c>
      <c r="M53" s="4">
        <v>1</v>
      </c>
      <c r="N53" s="4" t="s">
        <v>3</v>
      </c>
      <c r="O53" s="4">
        <v>2</v>
      </c>
      <c r="P53" s="4"/>
    </row>
    <row r="54" spans="1:40">
      <c r="A54" s="4">
        <v>50</v>
      </c>
      <c r="B54" s="4">
        <f>IF(SourceObSm!F54&lt;&gt;0,1,0)</f>
        <v>1</v>
      </c>
      <c r="C54" s="4">
        <v>0</v>
      </c>
      <c r="D54" s="4">
        <v>2</v>
      </c>
      <c r="E54" s="4">
        <v>0</v>
      </c>
      <c r="F54" s="4">
        <v>225.87</v>
      </c>
      <c r="G54" s="4" t="s">
        <v>150</v>
      </c>
      <c r="H54" s="4" t="s">
        <v>151</v>
      </c>
      <c r="I54" s="4"/>
      <c r="J54" s="4"/>
      <c r="K54" s="4">
        <v>212</v>
      </c>
      <c r="L54" s="4">
        <v>35</v>
      </c>
      <c r="M54" s="4">
        <v>1</v>
      </c>
      <c r="N54" s="4" t="s">
        <v>3</v>
      </c>
      <c r="O54" s="4">
        <v>2</v>
      </c>
      <c r="P54" s="4"/>
    </row>
    <row r="55" spans="1:40">
      <c r="A55" s="4">
        <v>50</v>
      </c>
      <c r="B55" s="4">
        <f>IF(SourceObSm!F55=0,1,0)</f>
        <v>0</v>
      </c>
      <c r="C55" s="4">
        <v>0</v>
      </c>
      <c r="D55" s="4">
        <v>2</v>
      </c>
      <c r="E55" s="4">
        <v>0</v>
      </c>
      <c r="F55" s="4">
        <v>2364592</v>
      </c>
      <c r="G55" s="4" t="s">
        <v>152</v>
      </c>
      <c r="H55" s="4" t="s">
        <v>153</v>
      </c>
      <c r="I55" s="4"/>
      <c r="J55" s="4"/>
      <c r="K55" s="4">
        <v>212</v>
      </c>
      <c r="L55" s="4">
        <v>36</v>
      </c>
      <c r="M55" s="4">
        <v>2</v>
      </c>
      <c r="N55" s="4" t="s">
        <v>3</v>
      </c>
      <c r="O55" s="4">
        <v>0</v>
      </c>
      <c r="P55" s="4"/>
    </row>
    <row r="57" spans="1:40">
      <c r="A57">
        <v>-1</v>
      </c>
    </row>
    <row r="60" spans="1:40">
      <c r="A60" s="3">
        <v>75</v>
      </c>
      <c r="B60" s="3" t="s">
        <v>455</v>
      </c>
      <c r="C60" s="3">
        <v>2023</v>
      </c>
      <c r="D60" s="3">
        <v>0</v>
      </c>
      <c r="E60" s="3">
        <v>9</v>
      </c>
      <c r="F60" s="3"/>
      <c r="G60" s="3">
        <v>0</v>
      </c>
      <c r="H60" s="3">
        <v>1</v>
      </c>
      <c r="I60" s="3">
        <v>0</v>
      </c>
      <c r="J60" s="3">
        <v>1</v>
      </c>
      <c r="K60" s="3">
        <v>0</v>
      </c>
      <c r="L60" s="3">
        <v>0</v>
      </c>
      <c r="M60" s="3">
        <v>0</v>
      </c>
      <c r="N60" s="3">
        <v>47920234</v>
      </c>
      <c r="O60" s="3">
        <v>1</v>
      </c>
    </row>
    <row r="61" spans="1:40">
      <c r="A61" s="5">
        <v>3</v>
      </c>
      <c r="B61" s="5" t="s">
        <v>456</v>
      </c>
      <c r="C61" s="5">
        <v>1</v>
      </c>
      <c r="D61" s="5">
        <v>5.15</v>
      </c>
      <c r="E61" s="5">
        <v>7.72</v>
      </c>
      <c r="F61" s="5">
        <v>28.93</v>
      </c>
      <c r="G61" s="5">
        <v>28.93</v>
      </c>
      <c r="H61" s="5">
        <v>1</v>
      </c>
      <c r="I61" s="5">
        <v>1</v>
      </c>
      <c r="J61" s="5">
        <v>2</v>
      </c>
      <c r="K61" s="5">
        <v>28.93</v>
      </c>
      <c r="L61" s="5">
        <v>7.72</v>
      </c>
      <c r="M61" s="5">
        <v>1</v>
      </c>
      <c r="N61" s="5">
        <v>5.15</v>
      </c>
      <c r="O61" s="5">
        <v>1</v>
      </c>
      <c r="P61" s="5">
        <v>1</v>
      </c>
      <c r="Q61" s="5">
        <v>28.93</v>
      </c>
      <c r="R61" s="5">
        <v>7.72</v>
      </c>
      <c r="S61" s="5" t="s">
        <v>3</v>
      </c>
      <c r="T61" s="5" t="s">
        <v>3</v>
      </c>
      <c r="U61" s="5" t="s">
        <v>3</v>
      </c>
      <c r="V61" s="5" t="s">
        <v>3</v>
      </c>
      <c r="W61" s="5" t="s">
        <v>3</v>
      </c>
      <c r="X61" s="5" t="s">
        <v>3</v>
      </c>
      <c r="Y61" s="5" t="s">
        <v>3</v>
      </c>
      <c r="Z61" s="5" t="s">
        <v>3</v>
      </c>
      <c r="AA61" s="5" t="s">
        <v>3</v>
      </c>
      <c r="AB61" s="5" t="s">
        <v>3</v>
      </c>
      <c r="AC61" s="5" t="s">
        <v>3</v>
      </c>
      <c r="AD61" s="5" t="s">
        <v>3</v>
      </c>
      <c r="AE61" s="5" t="s">
        <v>3</v>
      </c>
      <c r="AF61" s="5" t="s">
        <v>3</v>
      </c>
      <c r="AG61" s="5" t="s">
        <v>3</v>
      </c>
      <c r="AH61" s="5" t="s">
        <v>3</v>
      </c>
      <c r="AI61" s="5"/>
      <c r="AJ61" s="5"/>
      <c r="AK61" s="5"/>
      <c r="AL61" s="5"/>
      <c r="AM61" s="5"/>
      <c r="AN61" s="5">
        <v>47920235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C426"/>
  <sheetViews>
    <sheetView workbookViewId="0"/>
  </sheetViews>
  <sheetFormatPr defaultColWidth="9.140625" defaultRowHeight="12.75"/>
  <cols>
    <col min="1" max="256" width="9.140625" customWidth="1"/>
  </cols>
  <sheetData>
    <row r="1" spans="1:107">
      <c r="A1">
        <f>ROW(Source!A28)</f>
        <v>28</v>
      </c>
      <c r="B1">
        <v>47920234</v>
      </c>
      <c r="C1">
        <v>47920645</v>
      </c>
      <c r="D1">
        <v>9914874</v>
      </c>
      <c r="E1">
        <v>1</v>
      </c>
      <c r="F1">
        <v>1</v>
      </c>
      <c r="G1">
        <v>1</v>
      </c>
      <c r="H1">
        <v>1</v>
      </c>
      <c r="I1" t="s">
        <v>458</v>
      </c>
      <c r="J1" t="s">
        <v>3</v>
      </c>
      <c r="K1" t="s">
        <v>459</v>
      </c>
      <c r="L1">
        <v>1191</v>
      </c>
      <c r="N1">
        <v>1013</v>
      </c>
      <c r="O1" t="s">
        <v>460</v>
      </c>
      <c r="P1" t="s">
        <v>460</v>
      </c>
      <c r="Q1">
        <v>1</v>
      </c>
      <c r="W1">
        <v>0</v>
      </c>
      <c r="X1">
        <v>1617615494</v>
      </c>
      <c r="Y1">
        <v>386.4</v>
      </c>
      <c r="AA1">
        <v>0</v>
      </c>
      <c r="AB1">
        <v>0</v>
      </c>
      <c r="AC1">
        <v>0</v>
      </c>
      <c r="AD1">
        <v>219.29</v>
      </c>
      <c r="AE1">
        <v>0</v>
      </c>
      <c r="AF1">
        <v>0</v>
      </c>
      <c r="AG1">
        <v>0</v>
      </c>
      <c r="AH1">
        <v>7.58</v>
      </c>
      <c r="AI1">
        <v>1</v>
      </c>
      <c r="AJ1">
        <v>1</v>
      </c>
      <c r="AK1">
        <v>1</v>
      </c>
      <c r="AL1">
        <v>28.93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3</v>
      </c>
      <c r="AT1">
        <v>280</v>
      </c>
      <c r="AU1" t="s">
        <v>20</v>
      </c>
      <c r="AV1">
        <v>1</v>
      </c>
      <c r="AW1">
        <v>2</v>
      </c>
      <c r="AX1">
        <v>47920648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Y1*Source!I28</f>
        <v>3.8639999999999999</v>
      </c>
      <c r="CY1">
        <f t="shared" ref="CY1:CY6" si="0">AD1</f>
        <v>219.29</v>
      </c>
      <c r="CZ1">
        <f t="shared" ref="CZ1:CZ6" si="1">AH1</f>
        <v>7.58</v>
      </c>
      <c r="DA1">
        <f t="shared" ref="DA1:DA6" si="2">AL1</f>
        <v>28.93</v>
      </c>
      <c r="DB1">
        <f t="shared" ref="DB1:DB13" si="3">ROUND((ROUND(AT1*CZ1,2)*ROUND((1.2*1.15),7)),2)</f>
        <v>2928.91</v>
      </c>
      <c r="DC1">
        <f t="shared" ref="DC1:DC13" si="4">ROUND((ROUND(AT1*AG1,2)*ROUND((1.2*1.15),7)),2)</f>
        <v>0</v>
      </c>
    </row>
    <row r="2" spans="1:107">
      <c r="A2">
        <f>ROW(Source!A28)</f>
        <v>28</v>
      </c>
      <c r="B2">
        <v>47920234</v>
      </c>
      <c r="C2">
        <v>47920645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26</v>
      </c>
      <c r="J2" t="s">
        <v>3</v>
      </c>
      <c r="K2" t="s">
        <v>461</v>
      </c>
      <c r="L2">
        <v>608254</v>
      </c>
      <c r="N2">
        <v>1013</v>
      </c>
      <c r="O2" t="s">
        <v>462</v>
      </c>
      <c r="P2" t="s">
        <v>462</v>
      </c>
      <c r="Q2">
        <v>1</v>
      </c>
      <c r="W2">
        <v>0</v>
      </c>
      <c r="X2">
        <v>-185737400</v>
      </c>
      <c r="Y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28.93</v>
      </c>
      <c r="AL2">
        <v>1</v>
      </c>
      <c r="AN2">
        <v>0</v>
      </c>
      <c r="AO2">
        <v>1</v>
      </c>
      <c r="AP2">
        <v>1</v>
      </c>
      <c r="AQ2">
        <v>0</v>
      </c>
      <c r="AR2">
        <v>0</v>
      </c>
      <c r="AS2" t="s">
        <v>3</v>
      </c>
      <c r="AT2">
        <v>0</v>
      </c>
      <c r="AU2" t="s">
        <v>20</v>
      </c>
      <c r="AV2">
        <v>2</v>
      </c>
      <c r="AW2">
        <v>2</v>
      </c>
      <c r="AX2">
        <v>47920649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Y2*Source!I28</f>
        <v>0</v>
      </c>
      <c r="CY2">
        <f t="shared" si="0"/>
        <v>0</v>
      </c>
      <c r="CZ2">
        <f t="shared" si="1"/>
        <v>0</v>
      </c>
      <c r="DA2">
        <f t="shared" si="2"/>
        <v>1</v>
      </c>
      <c r="DB2">
        <f t="shared" si="3"/>
        <v>0</v>
      </c>
      <c r="DC2">
        <f t="shared" si="4"/>
        <v>0</v>
      </c>
    </row>
    <row r="3" spans="1:107">
      <c r="A3">
        <f>ROW(Source!A29)</f>
        <v>29</v>
      </c>
      <c r="B3">
        <v>47920234</v>
      </c>
      <c r="C3">
        <v>47920650</v>
      </c>
      <c r="D3">
        <v>10022687</v>
      </c>
      <c r="E3">
        <v>1</v>
      </c>
      <c r="F3">
        <v>1</v>
      </c>
      <c r="G3">
        <v>1</v>
      </c>
      <c r="H3">
        <v>1</v>
      </c>
      <c r="I3" t="s">
        <v>463</v>
      </c>
      <c r="J3" t="s">
        <v>3</v>
      </c>
      <c r="K3" t="s">
        <v>464</v>
      </c>
      <c r="L3">
        <v>1191</v>
      </c>
      <c r="N3">
        <v>1013</v>
      </c>
      <c r="O3" t="s">
        <v>460</v>
      </c>
      <c r="P3" t="s">
        <v>460</v>
      </c>
      <c r="Q3">
        <v>1</v>
      </c>
      <c r="W3">
        <v>0</v>
      </c>
      <c r="X3">
        <v>374572761</v>
      </c>
      <c r="Y3">
        <v>122.13</v>
      </c>
      <c r="AA3">
        <v>0</v>
      </c>
      <c r="AB3">
        <v>0</v>
      </c>
      <c r="AC3">
        <v>0</v>
      </c>
      <c r="AD3">
        <v>210.9</v>
      </c>
      <c r="AE3">
        <v>0</v>
      </c>
      <c r="AF3">
        <v>0</v>
      </c>
      <c r="AG3">
        <v>0</v>
      </c>
      <c r="AH3">
        <v>7.29</v>
      </c>
      <c r="AI3">
        <v>1</v>
      </c>
      <c r="AJ3">
        <v>1</v>
      </c>
      <c r="AK3">
        <v>1</v>
      </c>
      <c r="AL3">
        <v>28.93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3</v>
      </c>
      <c r="AT3">
        <v>88.5</v>
      </c>
      <c r="AU3" t="s">
        <v>20</v>
      </c>
      <c r="AV3">
        <v>1</v>
      </c>
      <c r="AW3">
        <v>2</v>
      </c>
      <c r="AX3">
        <v>47920653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Y3*Source!I29</f>
        <v>1.2213000000000001</v>
      </c>
      <c r="CY3">
        <f t="shared" si="0"/>
        <v>210.9</v>
      </c>
      <c r="CZ3">
        <f t="shared" si="1"/>
        <v>7.29</v>
      </c>
      <c r="DA3">
        <f t="shared" si="2"/>
        <v>28.93</v>
      </c>
      <c r="DB3">
        <f t="shared" si="3"/>
        <v>890.33</v>
      </c>
      <c r="DC3">
        <f t="shared" si="4"/>
        <v>0</v>
      </c>
    </row>
    <row r="4" spans="1:107">
      <c r="A4">
        <f>ROW(Source!A29)</f>
        <v>29</v>
      </c>
      <c r="B4">
        <v>47920234</v>
      </c>
      <c r="C4">
        <v>47920650</v>
      </c>
      <c r="D4">
        <v>121548</v>
      </c>
      <c r="E4">
        <v>1</v>
      </c>
      <c r="F4">
        <v>1</v>
      </c>
      <c r="G4">
        <v>1</v>
      </c>
      <c r="H4">
        <v>1</v>
      </c>
      <c r="I4" t="s">
        <v>26</v>
      </c>
      <c r="J4" t="s">
        <v>3</v>
      </c>
      <c r="K4" t="s">
        <v>461</v>
      </c>
      <c r="L4">
        <v>608254</v>
      </c>
      <c r="N4">
        <v>1013</v>
      </c>
      <c r="O4" t="s">
        <v>462</v>
      </c>
      <c r="P4" t="s">
        <v>462</v>
      </c>
      <c r="Q4">
        <v>1</v>
      </c>
      <c r="W4">
        <v>0</v>
      </c>
      <c r="X4">
        <v>-185737400</v>
      </c>
      <c r="Y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1</v>
      </c>
      <c r="AJ4">
        <v>1</v>
      </c>
      <c r="AK4">
        <v>28.93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3</v>
      </c>
      <c r="AT4">
        <v>0</v>
      </c>
      <c r="AU4" t="s">
        <v>20</v>
      </c>
      <c r="AV4">
        <v>2</v>
      </c>
      <c r="AW4">
        <v>2</v>
      </c>
      <c r="AX4">
        <v>47920654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Y4*Source!I29</f>
        <v>0</v>
      </c>
      <c r="CY4">
        <f t="shared" si="0"/>
        <v>0</v>
      </c>
      <c r="CZ4">
        <f t="shared" si="1"/>
        <v>0</v>
      </c>
      <c r="DA4">
        <f t="shared" si="2"/>
        <v>1</v>
      </c>
      <c r="DB4">
        <f t="shared" si="3"/>
        <v>0</v>
      </c>
      <c r="DC4">
        <f t="shared" si="4"/>
        <v>0</v>
      </c>
    </row>
    <row r="5" spans="1:107">
      <c r="A5">
        <f>ROW(Source!A30)</f>
        <v>30</v>
      </c>
      <c r="B5">
        <v>47920234</v>
      </c>
      <c r="C5">
        <v>47920655</v>
      </c>
      <c r="D5">
        <v>9914874</v>
      </c>
      <c r="E5">
        <v>1</v>
      </c>
      <c r="F5">
        <v>1</v>
      </c>
      <c r="G5">
        <v>1</v>
      </c>
      <c r="H5">
        <v>1</v>
      </c>
      <c r="I5" t="s">
        <v>458</v>
      </c>
      <c r="J5" t="s">
        <v>3</v>
      </c>
      <c r="K5" t="s">
        <v>459</v>
      </c>
      <c r="L5">
        <v>1191</v>
      </c>
      <c r="N5">
        <v>1013</v>
      </c>
      <c r="O5" t="s">
        <v>460</v>
      </c>
      <c r="P5" t="s">
        <v>460</v>
      </c>
      <c r="Q5">
        <v>1</v>
      </c>
      <c r="W5">
        <v>0</v>
      </c>
      <c r="X5">
        <v>1617615494</v>
      </c>
      <c r="Y5">
        <v>17.746799999999997</v>
      </c>
      <c r="AA5">
        <v>0</v>
      </c>
      <c r="AB5">
        <v>0</v>
      </c>
      <c r="AC5">
        <v>0</v>
      </c>
      <c r="AD5">
        <v>219.29</v>
      </c>
      <c r="AE5">
        <v>0</v>
      </c>
      <c r="AF5">
        <v>0</v>
      </c>
      <c r="AG5">
        <v>0</v>
      </c>
      <c r="AH5">
        <v>7.58</v>
      </c>
      <c r="AI5">
        <v>1</v>
      </c>
      <c r="AJ5">
        <v>1</v>
      </c>
      <c r="AK5">
        <v>1</v>
      </c>
      <c r="AL5">
        <v>28.93</v>
      </c>
      <c r="AN5">
        <v>0</v>
      </c>
      <c r="AO5">
        <v>1</v>
      </c>
      <c r="AP5">
        <v>1</v>
      </c>
      <c r="AQ5">
        <v>0</v>
      </c>
      <c r="AR5">
        <v>0</v>
      </c>
      <c r="AS5" t="s">
        <v>3</v>
      </c>
      <c r="AT5">
        <v>12.86</v>
      </c>
      <c r="AU5" t="s">
        <v>20</v>
      </c>
      <c r="AV5">
        <v>1</v>
      </c>
      <c r="AW5">
        <v>2</v>
      </c>
      <c r="AX5">
        <v>47924461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Y5*Source!I30</f>
        <v>1.2777695999999996</v>
      </c>
      <c r="CY5">
        <f t="shared" si="0"/>
        <v>219.29</v>
      </c>
      <c r="CZ5">
        <f t="shared" si="1"/>
        <v>7.58</v>
      </c>
      <c r="DA5">
        <f t="shared" si="2"/>
        <v>28.93</v>
      </c>
      <c r="DB5">
        <f t="shared" si="3"/>
        <v>134.52000000000001</v>
      </c>
      <c r="DC5">
        <f t="shared" si="4"/>
        <v>0</v>
      </c>
    </row>
    <row r="6" spans="1:107">
      <c r="A6">
        <f>ROW(Source!A30)</f>
        <v>30</v>
      </c>
      <c r="B6">
        <v>47920234</v>
      </c>
      <c r="C6">
        <v>47920655</v>
      </c>
      <c r="D6">
        <v>121548</v>
      </c>
      <c r="E6">
        <v>1</v>
      </c>
      <c r="F6">
        <v>1</v>
      </c>
      <c r="G6">
        <v>1</v>
      </c>
      <c r="H6">
        <v>1</v>
      </c>
      <c r="I6" t="s">
        <v>26</v>
      </c>
      <c r="J6" t="s">
        <v>3</v>
      </c>
      <c r="K6" t="s">
        <v>461</v>
      </c>
      <c r="L6">
        <v>608254</v>
      </c>
      <c r="N6">
        <v>1013</v>
      </c>
      <c r="O6" t="s">
        <v>462</v>
      </c>
      <c r="P6" t="s">
        <v>462</v>
      </c>
      <c r="Q6">
        <v>1</v>
      </c>
      <c r="W6">
        <v>0</v>
      </c>
      <c r="X6">
        <v>-185737400</v>
      </c>
      <c r="Y6">
        <v>81.088799999999992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1</v>
      </c>
      <c r="AK6">
        <v>28.93</v>
      </c>
      <c r="AL6">
        <v>1</v>
      </c>
      <c r="AN6">
        <v>0</v>
      </c>
      <c r="AO6">
        <v>1</v>
      </c>
      <c r="AP6">
        <v>1</v>
      </c>
      <c r="AQ6">
        <v>0</v>
      </c>
      <c r="AR6">
        <v>0</v>
      </c>
      <c r="AS6" t="s">
        <v>3</v>
      </c>
      <c r="AT6">
        <v>58.76</v>
      </c>
      <c r="AU6" t="s">
        <v>20</v>
      </c>
      <c r="AV6">
        <v>2</v>
      </c>
      <c r="AW6">
        <v>2</v>
      </c>
      <c r="AX6">
        <v>47924462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Y6*Source!I30</f>
        <v>5.838393599999999</v>
      </c>
      <c r="CY6">
        <f t="shared" si="0"/>
        <v>0</v>
      </c>
      <c r="CZ6">
        <f t="shared" si="1"/>
        <v>0</v>
      </c>
      <c r="DA6">
        <f t="shared" si="2"/>
        <v>1</v>
      </c>
      <c r="DB6">
        <f t="shared" si="3"/>
        <v>0</v>
      </c>
      <c r="DC6">
        <f t="shared" si="4"/>
        <v>0</v>
      </c>
    </row>
    <row r="7" spans="1:107">
      <c r="A7">
        <f>ROW(Source!A30)</f>
        <v>30</v>
      </c>
      <c r="B7">
        <v>47920234</v>
      </c>
      <c r="C7">
        <v>47920655</v>
      </c>
      <c r="D7">
        <v>13554921</v>
      </c>
      <c r="E7">
        <v>1</v>
      </c>
      <c r="F7">
        <v>1</v>
      </c>
      <c r="G7">
        <v>1</v>
      </c>
      <c r="H7">
        <v>2</v>
      </c>
      <c r="I7" t="s">
        <v>465</v>
      </c>
      <c r="J7" t="s">
        <v>466</v>
      </c>
      <c r="K7" t="s">
        <v>467</v>
      </c>
      <c r="L7">
        <v>1368</v>
      </c>
      <c r="N7">
        <v>1011</v>
      </c>
      <c r="O7" t="s">
        <v>468</v>
      </c>
      <c r="P7" t="s">
        <v>468</v>
      </c>
      <c r="Q7">
        <v>1</v>
      </c>
      <c r="W7">
        <v>0</v>
      </c>
      <c r="X7">
        <v>532452595</v>
      </c>
      <c r="Y7">
        <v>81.088799999999992</v>
      </c>
      <c r="AA7">
        <v>0</v>
      </c>
      <c r="AB7">
        <v>617.14</v>
      </c>
      <c r="AC7">
        <v>326.33</v>
      </c>
      <c r="AD7">
        <v>0</v>
      </c>
      <c r="AE7">
        <v>0</v>
      </c>
      <c r="AF7">
        <v>79.94</v>
      </c>
      <c r="AG7">
        <v>11.28</v>
      </c>
      <c r="AH7">
        <v>0</v>
      </c>
      <c r="AI7">
        <v>1</v>
      </c>
      <c r="AJ7">
        <v>7.72</v>
      </c>
      <c r="AK7">
        <v>28.93</v>
      </c>
      <c r="AL7">
        <v>1</v>
      </c>
      <c r="AN7">
        <v>0</v>
      </c>
      <c r="AO7">
        <v>1</v>
      </c>
      <c r="AP7">
        <v>1</v>
      </c>
      <c r="AQ7">
        <v>0</v>
      </c>
      <c r="AR7">
        <v>0</v>
      </c>
      <c r="AS7" t="s">
        <v>3</v>
      </c>
      <c r="AT7">
        <v>58.76</v>
      </c>
      <c r="AU7" t="s">
        <v>20</v>
      </c>
      <c r="AV7">
        <v>0</v>
      </c>
      <c r="AW7">
        <v>2</v>
      </c>
      <c r="AX7">
        <v>47924463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Y7*Source!I30</f>
        <v>5.838393599999999</v>
      </c>
      <c r="CY7">
        <f>AB7</f>
        <v>617.14</v>
      </c>
      <c r="CZ7">
        <f>AF7</f>
        <v>79.94</v>
      </c>
      <c r="DA7">
        <f>AJ7</f>
        <v>7.72</v>
      </c>
      <c r="DB7">
        <f t="shared" si="3"/>
        <v>6482.23</v>
      </c>
      <c r="DC7">
        <f t="shared" si="4"/>
        <v>914.68</v>
      </c>
    </row>
    <row r="8" spans="1:107">
      <c r="A8">
        <f>ROW(Source!A31)</f>
        <v>31</v>
      </c>
      <c r="B8">
        <v>47920234</v>
      </c>
      <c r="C8">
        <v>47920662</v>
      </c>
      <c r="D8">
        <v>9914874</v>
      </c>
      <c r="E8">
        <v>1</v>
      </c>
      <c r="F8">
        <v>1</v>
      </c>
      <c r="G8">
        <v>1</v>
      </c>
      <c r="H8">
        <v>1</v>
      </c>
      <c r="I8" t="s">
        <v>458</v>
      </c>
      <c r="J8" t="s">
        <v>3</v>
      </c>
      <c r="K8" t="s">
        <v>459</v>
      </c>
      <c r="L8">
        <v>1191</v>
      </c>
      <c r="N8">
        <v>1013</v>
      </c>
      <c r="O8" t="s">
        <v>460</v>
      </c>
      <c r="P8" t="s">
        <v>460</v>
      </c>
      <c r="Q8">
        <v>1</v>
      </c>
      <c r="W8">
        <v>0</v>
      </c>
      <c r="X8">
        <v>1617615494</v>
      </c>
      <c r="Y8">
        <v>212.51999999999995</v>
      </c>
      <c r="AA8">
        <v>0</v>
      </c>
      <c r="AB8">
        <v>0</v>
      </c>
      <c r="AC8">
        <v>0</v>
      </c>
      <c r="AD8">
        <v>219.29</v>
      </c>
      <c r="AE8">
        <v>0</v>
      </c>
      <c r="AF8">
        <v>0</v>
      </c>
      <c r="AG8">
        <v>0</v>
      </c>
      <c r="AH8">
        <v>7.58</v>
      </c>
      <c r="AI8">
        <v>1</v>
      </c>
      <c r="AJ8">
        <v>1</v>
      </c>
      <c r="AK8">
        <v>1</v>
      </c>
      <c r="AL8">
        <v>28.93</v>
      </c>
      <c r="AN8">
        <v>0</v>
      </c>
      <c r="AO8">
        <v>1</v>
      </c>
      <c r="AP8">
        <v>1</v>
      </c>
      <c r="AQ8">
        <v>0</v>
      </c>
      <c r="AR8">
        <v>0</v>
      </c>
      <c r="AS8" t="s">
        <v>3</v>
      </c>
      <c r="AT8">
        <v>154</v>
      </c>
      <c r="AU8" t="s">
        <v>20</v>
      </c>
      <c r="AV8">
        <v>1</v>
      </c>
      <c r="AW8">
        <v>2</v>
      </c>
      <c r="AX8">
        <v>47924464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Y8*Source!I31</f>
        <v>64.457315999999992</v>
      </c>
      <c r="CY8">
        <f>AD8</f>
        <v>219.29</v>
      </c>
      <c r="CZ8">
        <f>AH8</f>
        <v>7.58</v>
      </c>
      <c r="DA8">
        <f>AL8</f>
        <v>28.93</v>
      </c>
      <c r="DB8">
        <f t="shared" si="3"/>
        <v>1610.9</v>
      </c>
      <c r="DC8">
        <f t="shared" si="4"/>
        <v>0</v>
      </c>
    </row>
    <row r="9" spans="1:107">
      <c r="A9">
        <f>ROW(Source!A31)</f>
        <v>31</v>
      </c>
      <c r="B9">
        <v>47920234</v>
      </c>
      <c r="C9">
        <v>47920662</v>
      </c>
      <c r="D9">
        <v>121548</v>
      </c>
      <c r="E9">
        <v>1</v>
      </c>
      <c r="F9">
        <v>1</v>
      </c>
      <c r="G9">
        <v>1</v>
      </c>
      <c r="H9">
        <v>1</v>
      </c>
      <c r="I9" t="s">
        <v>26</v>
      </c>
      <c r="J9" t="s">
        <v>3</v>
      </c>
      <c r="K9" t="s">
        <v>461</v>
      </c>
      <c r="L9">
        <v>608254</v>
      </c>
      <c r="N9">
        <v>1013</v>
      </c>
      <c r="O9" t="s">
        <v>462</v>
      </c>
      <c r="P9" t="s">
        <v>462</v>
      </c>
      <c r="Q9">
        <v>1</v>
      </c>
      <c r="W9">
        <v>0</v>
      </c>
      <c r="X9">
        <v>-185737400</v>
      </c>
      <c r="Y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1</v>
      </c>
      <c r="AJ9">
        <v>1</v>
      </c>
      <c r="AK9">
        <v>28.93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S9" t="s">
        <v>3</v>
      </c>
      <c r="AT9">
        <v>0</v>
      </c>
      <c r="AU9" t="s">
        <v>20</v>
      </c>
      <c r="AV9">
        <v>2</v>
      </c>
      <c r="AW9">
        <v>2</v>
      </c>
      <c r="AX9">
        <v>47924465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Y9*Source!I31</f>
        <v>0</v>
      </c>
      <c r="CY9">
        <f>AD9</f>
        <v>0</v>
      </c>
      <c r="CZ9">
        <f>AH9</f>
        <v>0</v>
      </c>
      <c r="DA9">
        <f>AL9</f>
        <v>1</v>
      </c>
      <c r="DB9">
        <f t="shared" si="3"/>
        <v>0</v>
      </c>
      <c r="DC9">
        <f t="shared" si="4"/>
        <v>0</v>
      </c>
    </row>
    <row r="10" spans="1:107">
      <c r="A10">
        <f>ROW(Source!A32)</f>
        <v>32</v>
      </c>
      <c r="B10">
        <v>47920234</v>
      </c>
      <c r="C10">
        <v>47920667</v>
      </c>
      <c r="D10">
        <v>121548</v>
      </c>
      <c r="E10">
        <v>1</v>
      </c>
      <c r="F10">
        <v>1</v>
      </c>
      <c r="G10">
        <v>1</v>
      </c>
      <c r="H10">
        <v>1</v>
      </c>
      <c r="I10" t="s">
        <v>26</v>
      </c>
      <c r="J10" t="s">
        <v>3</v>
      </c>
      <c r="K10" t="s">
        <v>461</v>
      </c>
      <c r="L10">
        <v>608254</v>
      </c>
      <c r="N10">
        <v>1013</v>
      </c>
      <c r="O10" t="s">
        <v>462</v>
      </c>
      <c r="P10" t="s">
        <v>462</v>
      </c>
      <c r="Q10">
        <v>1</v>
      </c>
      <c r="W10">
        <v>0</v>
      </c>
      <c r="X10">
        <v>-185737400</v>
      </c>
      <c r="Y10">
        <v>12.240599999999997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28.93</v>
      </c>
      <c r="AL10">
        <v>1</v>
      </c>
      <c r="AN10">
        <v>0</v>
      </c>
      <c r="AO10">
        <v>1</v>
      </c>
      <c r="AP10">
        <v>1</v>
      </c>
      <c r="AQ10">
        <v>0</v>
      </c>
      <c r="AR10">
        <v>0</v>
      </c>
      <c r="AS10" t="s">
        <v>3</v>
      </c>
      <c r="AT10">
        <v>8.8699999999999992</v>
      </c>
      <c r="AU10" t="s">
        <v>20</v>
      </c>
      <c r="AV10">
        <v>2</v>
      </c>
      <c r="AW10">
        <v>2</v>
      </c>
      <c r="AX10">
        <v>47920670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Y10*Source!I32</f>
        <v>0.7466765999999998</v>
      </c>
      <c r="CY10">
        <f>AD10</f>
        <v>0</v>
      </c>
      <c r="CZ10">
        <f>AH10</f>
        <v>0</v>
      </c>
      <c r="DA10">
        <f>AL10</f>
        <v>1</v>
      </c>
      <c r="DB10">
        <f t="shared" si="3"/>
        <v>0</v>
      </c>
      <c r="DC10">
        <f t="shared" si="4"/>
        <v>0</v>
      </c>
    </row>
    <row r="11" spans="1:107">
      <c r="A11">
        <f>ROW(Source!A32)</f>
        <v>32</v>
      </c>
      <c r="B11">
        <v>47920234</v>
      </c>
      <c r="C11">
        <v>47920667</v>
      </c>
      <c r="D11">
        <v>13554972</v>
      </c>
      <c r="E11">
        <v>1</v>
      </c>
      <c r="F11">
        <v>1</v>
      </c>
      <c r="G11">
        <v>1</v>
      </c>
      <c r="H11">
        <v>2</v>
      </c>
      <c r="I11" t="s">
        <v>469</v>
      </c>
      <c r="J11" t="s">
        <v>470</v>
      </c>
      <c r="K11" t="s">
        <v>471</v>
      </c>
      <c r="L11">
        <v>1368</v>
      </c>
      <c r="N11">
        <v>1011</v>
      </c>
      <c r="O11" t="s">
        <v>468</v>
      </c>
      <c r="P11" t="s">
        <v>468</v>
      </c>
      <c r="Q11">
        <v>1</v>
      </c>
      <c r="W11">
        <v>0</v>
      </c>
      <c r="X11">
        <v>-332186188</v>
      </c>
      <c r="Y11">
        <v>12.240599999999997</v>
      </c>
      <c r="AA11">
        <v>0</v>
      </c>
      <c r="AB11">
        <v>493.85</v>
      </c>
      <c r="AC11">
        <v>326.33</v>
      </c>
      <c r="AD11">
        <v>0</v>
      </c>
      <c r="AE11">
        <v>0</v>
      </c>
      <c r="AF11">
        <v>63.97</v>
      </c>
      <c r="AG11">
        <v>11.28</v>
      </c>
      <c r="AH11">
        <v>0</v>
      </c>
      <c r="AI11">
        <v>1</v>
      </c>
      <c r="AJ11">
        <v>7.72</v>
      </c>
      <c r="AK11">
        <v>28.93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S11" t="s">
        <v>3</v>
      </c>
      <c r="AT11">
        <v>8.8699999999999992</v>
      </c>
      <c r="AU11" t="s">
        <v>20</v>
      </c>
      <c r="AV11">
        <v>0</v>
      </c>
      <c r="AW11">
        <v>2</v>
      </c>
      <c r="AX11">
        <v>47920671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Y11*Source!I32</f>
        <v>0.7466765999999998</v>
      </c>
      <c r="CY11">
        <f>AB11</f>
        <v>493.85</v>
      </c>
      <c r="CZ11">
        <f>AF11</f>
        <v>63.97</v>
      </c>
      <c r="DA11">
        <f>AJ11</f>
        <v>7.72</v>
      </c>
      <c r="DB11">
        <f t="shared" si="3"/>
        <v>783.03</v>
      </c>
      <c r="DC11">
        <f t="shared" si="4"/>
        <v>138.07</v>
      </c>
    </row>
    <row r="12" spans="1:107">
      <c r="A12">
        <f>ROW(Source!A33)</f>
        <v>33</v>
      </c>
      <c r="B12">
        <v>47920234</v>
      </c>
      <c r="C12">
        <v>47920672</v>
      </c>
      <c r="D12">
        <v>10022687</v>
      </c>
      <c r="E12">
        <v>1</v>
      </c>
      <c r="F12">
        <v>1</v>
      </c>
      <c r="G12">
        <v>1</v>
      </c>
      <c r="H12">
        <v>1</v>
      </c>
      <c r="I12" t="s">
        <v>463</v>
      </c>
      <c r="J12" t="s">
        <v>3</v>
      </c>
      <c r="K12" t="s">
        <v>464</v>
      </c>
      <c r="L12">
        <v>1191</v>
      </c>
      <c r="N12">
        <v>1013</v>
      </c>
      <c r="O12" t="s">
        <v>460</v>
      </c>
      <c r="P12" t="s">
        <v>460</v>
      </c>
      <c r="Q12">
        <v>1</v>
      </c>
      <c r="W12">
        <v>0</v>
      </c>
      <c r="X12">
        <v>374572761</v>
      </c>
      <c r="Y12">
        <v>122.13</v>
      </c>
      <c r="AA12">
        <v>0</v>
      </c>
      <c r="AB12">
        <v>0</v>
      </c>
      <c r="AC12">
        <v>0</v>
      </c>
      <c r="AD12">
        <v>210.9</v>
      </c>
      <c r="AE12">
        <v>0</v>
      </c>
      <c r="AF12">
        <v>0</v>
      </c>
      <c r="AG12">
        <v>0</v>
      </c>
      <c r="AH12">
        <v>7.29</v>
      </c>
      <c r="AI12">
        <v>1</v>
      </c>
      <c r="AJ12">
        <v>1</v>
      </c>
      <c r="AK12">
        <v>1</v>
      </c>
      <c r="AL12">
        <v>28.93</v>
      </c>
      <c r="AN12">
        <v>0</v>
      </c>
      <c r="AO12">
        <v>1</v>
      </c>
      <c r="AP12">
        <v>1</v>
      </c>
      <c r="AQ12">
        <v>0</v>
      </c>
      <c r="AR12">
        <v>0</v>
      </c>
      <c r="AS12" t="s">
        <v>3</v>
      </c>
      <c r="AT12">
        <v>88.5</v>
      </c>
      <c r="AU12" t="s">
        <v>20</v>
      </c>
      <c r="AV12">
        <v>1</v>
      </c>
      <c r="AW12">
        <v>2</v>
      </c>
      <c r="AX12">
        <v>47924466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Y12*Source!I33</f>
        <v>8.8177859999999999</v>
      </c>
      <c r="CY12">
        <f>AD12</f>
        <v>210.9</v>
      </c>
      <c r="CZ12">
        <f>AH12</f>
        <v>7.29</v>
      </c>
      <c r="DA12">
        <f>AL12</f>
        <v>28.93</v>
      </c>
      <c r="DB12">
        <f t="shared" si="3"/>
        <v>890.33</v>
      </c>
      <c r="DC12">
        <f t="shared" si="4"/>
        <v>0</v>
      </c>
    </row>
    <row r="13" spans="1:107">
      <c r="A13">
        <f>ROW(Source!A33)</f>
        <v>33</v>
      </c>
      <c r="B13">
        <v>47920234</v>
      </c>
      <c r="C13">
        <v>47920672</v>
      </c>
      <c r="D13">
        <v>121548</v>
      </c>
      <c r="E13">
        <v>1</v>
      </c>
      <c r="F13">
        <v>1</v>
      </c>
      <c r="G13">
        <v>1</v>
      </c>
      <c r="H13">
        <v>1</v>
      </c>
      <c r="I13" t="s">
        <v>26</v>
      </c>
      <c r="J13" t="s">
        <v>3</v>
      </c>
      <c r="K13" t="s">
        <v>461</v>
      </c>
      <c r="L13">
        <v>608254</v>
      </c>
      <c r="N13">
        <v>1013</v>
      </c>
      <c r="O13" t="s">
        <v>462</v>
      </c>
      <c r="P13" t="s">
        <v>462</v>
      </c>
      <c r="Q13">
        <v>1</v>
      </c>
      <c r="W13">
        <v>0</v>
      </c>
      <c r="X13">
        <v>-185737400</v>
      </c>
      <c r="Y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1</v>
      </c>
      <c r="AJ13">
        <v>1</v>
      </c>
      <c r="AK13">
        <v>28.93</v>
      </c>
      <c r="AL13">
        <v>1</v>
      </c>
      <c r="AN13">
        <v>0</v>
      </c>
      <c r="AO13">
        <v>1</v>
      </c>
      <c r="AP13">
        <v>1</v>
      </c>
      <c r="AQ13">
        <v>0</v>
      </c>
      <c r="AR13">
        <v>0</v>
      </c>
      <c r="AS13" t="s">
        <v>3</v>
      </c>
      <c r="AT13">
        <v>0</v>
      </c>
      <c r="AU13" t="s">
        <v>20</v>
      </c>
      <c r="AV13">
        <v>2</v>
      </c>
      <c r="AW13">
        <v>2</v>
      </c>
      <c r="AX13">
        <v>47924467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Y13*Source!I33</f>
        <v>0</v>
      </c>
      <c r="CY13">
        <f>AD13</f>
        <v>0</v>
      </c>
      <c r="CZ13">
        <f>AH13</f>
        <v>0</v>
      </c>
      <c r="DA13">
        <f>AL13</f>
        <v>1</v>
      </c>
      <c r="DB13">
        <f t="shared" si="3"/>
        <v>0</v>
      </c>
      <c r="DC13">
        <f t="shared" si="4"/>
        <v>0</v>
      </c>
    </row>
    <row r="14" spans="1:107">
      <c r="A14">
        <f>ROW(Source!A34)</f>
        <v>34</v>
      </c>
      <c r="B14">
        <v>47920234</v>
      </c>
      <c r="C14">
        <v>47920677</v>
      </c>
      <c r="D14">
        <v>121548</v>
      </c>
      <c r="E14">
        <v>1</v>
      </c>
      <c r="F14">
        <v>1</v>
      </c>
      <c r="G14">
        <v>1</v>
      </c>
      <c r="H14">
        <v>1</v>
      </c>
      <c r="I14" t="s">
        <v>26</v>
      </c>
      <c r="J14" t="s">
        <v>3</v>
      </c>
      <c r="K14" t="s">
        <v>461</v>
      </c>
      <c r="L14">
        <v>608254</v>
      </c>
      <c r="N14">
        <v>1013</v>
      </c>
      <c r="O14" t="s">
        <v>462</v>
      </c>
      <c r="P14" t="s">
        <v>462</v>
      </c>
      <c r="Q14">
        <v>1</v>
      </c>
      <c r="W14">
        <v>0</v>
      </c>
      <c r="X14">
        <v>-185737400</v>
      </c>
      <c r="Y14">
        <v>2.9000000000000001E-2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28.93</v>
      </c>
      <c r="AL14">
        <v>1</v>
      </c>
      <c r="AN14">
        <v>0</v>
      </c>
      <c r="AO14">
        <v>1</v>
      </c>
      <c r="AP14">
        <v>1</v>
      </c>
      <c r="AQ14">
        <v>0</v>
      </c>
      <c r="AR14">
        <v>0</v>
      </c>
      <c r="AS14" t="s">
        <v>3</v>
      </c>
      <c r="AT14">
        <v>2.9000000000000001E-2</v>
      </c>
      <c r="AU14" t="s">
        <v>3</v>
      </c>
      <c r="AV14">
        <v>2</v>
      </c>
      <c r="AW14">
        <v>2</v>
      </c>
      <c r="AX14">
        <v>47920680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Y14*Source!I34</f>
        <v>1.7310099999999999</v>
      </c>
      <c r="CY14">
        <f>AD14</f>
        <v>0</v>
      </c>
      <c r="CZ14">
        <f>AH14</f>
        <v>0</v>
      </c>
      <c r="DA14">
        <f>AL14</f>
        <v>1</v>
      </c>
      <c r="DB14">
        <f>ROUND(ROUND(AT14*CZ14,2),2)</f>
        <v>0</v>
      </c>
      <c r="DC14">
        <f>ROUND(ROUND(AT14*AG14,2),2)</f>
        <v>0</v>
      </c>
    </row>
    <row r="15" spans="1:107">
      <c r="A15">
        <f>ROW(Source!A34)</f>
        <v>34</v>
      </c>
      <c r="B15">
        <v>47920234</v>
      </c>
      <c r="C15">
        <v>47920677</v>
      </c>
      <c r="D15">
        <v>13554895</v>
      </c>
      <c r="E15">
        <v>1</v>
      </c>
      <c r="F15">
        <v>1</v>
      </c>
      <c r="G15">
        <v>1</v>
      </c>
      <c r="H15">
        <v>2</v>
      </c>
      <c r="I15" t="s">
        <v>472</v>
      </c>
      <c r="J15" t="s">
        <v>473</v>
      </c>
      <c r="K15" t="s">
        <v>474</v>
      </c>
      <c r="L15">
        <v>1368</v>
      </c>
      <c r="N15">
        <v>1011</v>
      </c>
      <c r="O15" t="s">
        <v>468</v>
      </c>
      <c r="P15" t="s">
        <v>468</v>
      </c>
      <c r="Q15">
        <v>1</v>
      </c>
      <c r="W15">
        <v>0</v>
      </c>
      <c r="X15">
        <v>-1066956003</v>
      </c>
      <c r="Y15">
        <v>2.9000000000000001E-2</v>
      </c>
      <c r="AA15">
        <v>0</v>
      </c>
      <c r="AB15">
        <v>1092.8399999999999</v>
      </c>
      <c r="AC15">
        <v>379.56</v>
      </c>
      <c r="AD15">
        <v>0</v>
      </c>
      <c r="AE15">
        <v>0</v>
      </c>
      <c r="AF15">
        <v>141.56</v>
      </c>
      <c r="AG15">
        <v>13.12</v>
      </c>
      <c r="AH15">
        <v>0</v>
      </c>
      <c r="AI15">
        <v>1</v>
      </c>
      <c r="AJ15">
        <v>7.72</v>
      </c>
      <c r="AK15">
        <v>28.93</v>
      </c>
      <c r="AL15">
        <v>1</v>
      </c>
      <c r="AN15">
        <v>0</v>
      </c>
      <c r="AO15">
        <v>1</v>
      </c>
      <c r="AP15">
        <v>1</v>
      </c>
      <c r="AQ15">
        <v>0</v>
      </c>
      <c r="AR15">
        <v>0</v>
      </c>
      <c r="AS15" t="s">
        <v>3</v>
      </c>
      <c r="AT15">
        <v>2.9000000000000001E-2</v>
      </c>
      <c r="AU15" t="s">
        <v>3</v>
      </c>
      <c r="AV15">
        <v>0</v>
      </c>
      <c r="AW15">
        <v>2</v>
      </c>
      <c r="AX15">
        <v>47920681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Y15*Source!I34</f>
        <v>1.7310099999999999</v>
      </c>
      <c r="CY15">
        <f>AB15</f>
        <v>1092.8399999999999</v>
      </c>
      <c r="CZ15">
        <f>AF15</f>
        <v>141.56</v>
      </c>
      <c r="DA15">
        <f>AJ15</f>
        <v>7.72</v>
      </c>
      <c r="DB15">
        <f>ROUND(ROUND(AT15*CZ15,2),2)</f>
        <v>4.1100000000000003</v>
      </c>
      <c r="DC15">
        <f>ROUND(ROUND(AT15*AG15,2),2)</f>
        <v>0.38</v>
      </c>
    </row>
    <row r="16" spans="1:107">
      <c r="A16">
        <f>ROW(Source!A36)</f>
        <v>36</v>
      </c>
      <c r="B16">
        <v>47920234</v>
      </c>
      <c r="C16">
        <v>47920683</v>
      </c>
      <c r="D16">
        <v>9914966</v>
      </c>
      <c r="E16">
        <v>1</v>
      </c>
      <c r="F16">
        <v>1</v>
      </c>
      <c r="G16">
        <v>1</v>
      </c>
      <c r="H16">
        <v>1</v>
      </c>
      <c r="I16" t="s">
        <v>475</v>
      </c>
      <c r="J16" t="s">
        <v>3</v>
      </c>
      <c r="K16" t="s">
        <v>476</v>
      </c>
      <c r="L16">
        <v>1191</v>
      </c>
      <c r="N16">
        <v>1013</v>
      </c>
      <c r="O16" t="s">
        <v>460</v>
      </c>
      <c r="P16" t="s">
        <v>460</v>
      </c>
      <c r="Q16">
        <v>1</v>
      </c>
      <c r="W16">
        <v>0</v>
      </c>
      <c r="X16">
        <v>-464558861</v>
      </c>
      <c r="Y16">
        <v>395.3975999999999</v>
      </c>
      <c r="AA16">
        <v>0</v>
      </c>
      <c r="AB16">
        <v>0</v>
      </c>
      <c r="AC16">
        <v>0</v>
      </c>
      <c r="AD16">
        <v>258.33999999999997</v>
      </c>
      <c r="AE16">
        <v>0</v>
      </c>
      <c r="AF16">
        <v>0</v>
      </c>
      <c r="AG16">
        <v>0</v>
      </c>
      <c r="AH16">
        <v>8.93</v>
      </c>
      <c r="AI16">
        <v>1</v>
      </c>
      <c r="AJ16">
        <v>1</v>
      </c>
      <c r="AK16">
        <v>1</v>
      </c>
      <c r="AL16">
        <v>28.93</v>
      </c>
      <c r="AN16">
        <v>0</v>
      </c>
      <c r="AO16">
        <v>1</v>
      </c>
      <c r="AP16">
        <v>1</v>
      </c>
      <c r="AQ16">
        <v>0</v>
      </c>
      <c r="AR16">
        <v>0</v>
      </c>
      <c r="AS16" t="s">
        <v>3</v>
      </c>
      <c r="AT16">
        <v>286.52</v>
      </c>
      <c r="AU16" t="s">
        <v>66</v>
      </c>
      <c r="AV16">
        <v>1</v>
      </c>
      <c r="AW16">
        <v>2</v>
      </c>
      <c r="AX16">
        <v>47920694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Y16*Source!I36</f>
        <v>3.5585783999999987</v>
      </c>
      <c r="CY16">
        <f>AD16</f>
        <v>258.33999999999997</v>
      </c>
      <c r="CZ16">
        <f>AH16</f>
        <v>8.93</v>
      </c>
      <c r="DA16">
        <f>AL16</f>
        <v>28.93</v>
      </c>
      <c r="DB16">
        <f t="shared" ref="DB16:DB22" si="5">ROUND((ROUND(AT16*CZ16,2)*ROUND((1.15*1.2),7)),2)</f>
        <v>3530.9</v>
      </c>
      <c r="DC16">
        <f t="shared" ref="DC16:DC22" si="6">ROUND((ROUND(AT16*AG16,2)*ROUND((1.15*1.2),7)),2)</f>
        <v>0</v>
      </c>
    </row>
    <row r="17" spans="1:107">
      <c r="A17">
        <f>ROW(Source!A36)</f>
        <v>36</v>
      </c>
      <c r="B17">
        <v>47920234</v>
      </c>
      <c r="C17">
        <v>47920683</v>
      </c>
      <c r="D17">
        <v>121548</v>
      </c>
      <c r="E17">
        <v>1</v>
      </c>
      <c r="F17">
        <v>1</v>
      </c>
      <c r="G17">
        <v>1</v>
      </c>
      <c r="H17">
        <v>1</v>
      </c>
      <c r="I17" t="s">
        <v>26</v>
      </c>
      <c r="J17" t="s">
        <v>3</v>
      </c>
      <c r="K17" t="s">
        <v>461</v>
      </c>
      <c r="L17">
        <v>608254</v>
      </c>
      <c r="N17">
        <v>1013</v>
      </c>
      <c r="O17" t="s">
        <v>462</v>
      </c>
      <c r="P17" t="s">
        <v>462</v>
      </c>
      <c r="Q17">
        <v>1</v>
      </c>
      <c r="W17">
        <v>0</v>
      </c>
      <c r="X17">
        <v>-185737400</v>
      </c>
      <c r="Y17">
        <v>59.119199999999992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28.93</v>
      </c>
      <c r="AL17">
        <v>1</v>
      </c>
      <c r="AN17">
        <v>0</v>
      </c>
      <c r="AO17">
        <v>1</v>
      </c>
      <c r="AP17">
        <v>1</v>
      </c>
      <c r="AQ17">
        <v>0</v>
      </c>
      <c r="AR17">
        <v>0</v>
      </c>
      <c r="AS17" t="s">
        <v>3</v>
      </c>
      <c r="AT17">
        <v>42.84</v>
      </c>
      <c r="AU17" t="s">
        <v>66</v>
      </c>
      <c r="AV17">
        <v>2</v>
      </c>
      <c r="AW17">
        <v>2</v>
      </c>
      <c r="AX17">
        <v>47920695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Y17*Source!I36</f>
        <v>0.5320727999999999</v>
      </c>
      <c r="CY17">
        <f>AD17</f>
        <v>0</v>
      </c>
      <c r="CZ17">
        <f>AH17</f>
        <v>0</v>
      </c>
      <c r="DA17">
        <f>AL17</f>
        <v>1</v>
      </c>
      <c r="DB17">
        <f t="shared" si="5"/>
        <v>0</v>
      </c>
      <c r="DC17">
        <f t="shared" si="6"/>
        <v>0</v>
      </c>
    </row>
    <row r="18" spans="1:107">
      <c r="A18">
        <f>ROW(Source!A36)</f>
        <v>36</v>
      </c>
      <c r="B18">
        <v>47920234</v>
      </c>
      <c r="C18">
        <v>47920683</v>
      </c>
      <c r="D18">
        <v>13554562</v>
      </c>
      <c r="E18">
        <v>1</v>
      </c>
      <c r="F18">
        <v>1</v>
      </c>
      <c r="G18">
        <v>1</v>
      </c>
      <c r="H18">
        <v>2</v>
      </c>
      <c r="I18" t="s">
        <v>477</v>
      </c>
      <c r="J18" t="s">
        <v>478</v>
      </c>
      <c r="K18" t="s">
        <v>479</v>
      </c>
      <c r="L18">
        <v>1368</v>
      </c>
      <c r="N18">
        <v>1011</v>
      </c>
      <c r="O18" t="s">
        <v>468</v>
      </c>
      <c r="P18" t="s">
        <v>468</v>
      </c>
      <c r="Q18">
        <v>1</v>
      </c>
      <c r="W18">
        <v>0</v>
      </c>
      <c r="X18">
        <v>1248323946</v>
      </c>
      <c r="Y18">
        <v>1.0073999999999999</v>
      </c>
      <c r="AA18">
        <v>0</v>
      </c>
      <c r="AB18">
        <v>985.54</v>
      </c>
      <c r="AC18">
        <v>379.56</v>
      </c>
      <c r="AD18">
        <v>0</v>
      </c>
      <c r="AE18">
        <v>0</v>
      </c>
      <c r="AF18">
        <v>127.66</v>
      </c>
      <c r="AG18">
        <v>13.12</v>
      </c>
      <c r="AH18">
        <v>0</v>
      </c>
      <c r="AI18">
        <v>1</v>
      </c>
      <c r="AJ18">
        <v>7.72</v>
      </c>
      <c r="AK18">
        <v>28.93</v>
      </c>
      <c r="AL18">
        <v>1</v>
      </c>
      <c r="AN18">
        <v>0</v>
      </c>
      <c r="AO18">
        <v>1</v>
      </c>
      <c r="AP18">
        <v>1</v>
      </c>
      <c r="AQ18">
        <v>0</v>
      </c>
      <c r="AR18">
        <v>0</v>
      </c>
      <c r="AS18" t="s">
        <v>3</v>
      </c>
      <c r="AT18">
        <v>0.73</v>
      </c>
      <c r="AU18" t="s">
        <v>66</v>
      </c>
      <c r="AV18">
        <v>0</v>
      </c>
      <c r="AW18">
        <v>2</v>
      </c>
      <c r="AX18">
        <v>47920696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Y18*Source!I36</f>
        <v>9.0665999999999976E-3</v>
      </c>
      <c r="CY18">
        <f>AB18</f>
        <v>985.54</v>
      </c>
      <c r="CZ18">
        <f>AF18</f>
        <v>127.66</v>
      </c>
      <c r="DA18">
        <f>AJ18</f>
        <v>7.72</v>
      </c>
      <c r="DB18">
        <f t="shared" si="5"/>
        <v>128.6</v>
      </c>
      <c r="DC18">
        <f t="shared" si="6"/>
        <v>13.22</v>
      </c>
    </row>
    <row r="19" spans="1:107">
      <c r="A19">
        <f>ROW(Source!A36)</f>
        <v>36</v>
      </c>
      <c r="B19">
        <v>47920234</v>
      </c>
      <c r="C19">
        <v>47920683</v>
      </c>
      <c r="D19">
        <v>13554786</v>
      </c>
      <c r="E19">
        <v>1</v>
      </c>
      <c r="F19">
        <v>1</v>
      </c>
      <c r="G19">
        <v>1</v>
      </c>
      <c r="H19">
        <v>2</v>
      </c>
      <c r="I19" t="s">
        <v>480</v>
      </c>
      <c r="J19" t="s">
        <v>481</v>
      </c>
      <c r="K19" t="s">
        <v>482</v>
      </c>
      <c r="L19">
        <v>1368</v>
      </c>
      <c r="N19">
        <v>1011</v>
      </c>
      <c r="O19" t="s">
        <v>468</v>
      </c>
      <c r="P19" t="s">
        <v>468</v>
      </c>
      <c r="Q19">
        <v>1</v>
      </c>
      <c r="W19">
        <v>0</v>
      </c>
      <c r="X19">
        <v>1515030893</v>
      </c>
      <c r="Y19">
        <v>3.2015999999999996</v>
      </c>
      <c r="AA19">
        <v>0</v>
      </c>
      <c r="AB19">
        <v>236.93</v>
      </c>
      <c r="AC19">
        <v>326.33</v>
      </c>
      <c r="AD19">
        <v>0</v>
      </c>
      <c r="AE19">
        <v>0</v>
      </c>
      <c r="AF19">
        <v>30.69</v>
      </c>
      <c r="AG19">
        <v>11.28</v>
      </c>
      <c r="AH19">
        <v>0</v>
      </c>
      <c r="AI19">
        <v>1</v>
      </c>
      <c r="AJ19">
        <v>7.72</v>
      </c>
      <c r="AK19">
        <v>28.93</v>
      </c>
      <c r="AL19">
        <v>1</v>
      </c>
      <c r="AN19">
        <v>0</v>
      </c>
      <c r="AO19">
        <v>1</v>
      </c>
      <c r="AP19">
        <v>1</v>
      </c>
      <c r="AQ19">
        <v>0</v>
      </c>
      <c r="AR19">
        <v>0</v>
      </c>
      <c r="AS19" t="s">
        <v>3</v>
      </c>
      <c r="AT19">
        <v>2.3199999999999998</v>
      </c>
      <c r="AU19" t="s">
        <v>66</v>
      </c>
      <c r="AV19">
        <v>0</v>
      </c>
      <c r="AW19">
        <v>2</v>
      </c>
      <c r="AX19">
        <v>47920697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Y19*Source!I36</f>
        <v>2.8814399999999993E-2</v>
      </c>
      <c r="CY19">
        <f>AB19</f>
        <v>236.93</v>
      </c>
      <c r="CZ19">
        <f>AF19</f>
        <v>30.69</v>
      </c>
      <c r="DA19">
        <f>AJ19</f>
        <v>7.72</v>
      </c>
      <c r="DB19">
        <f t="shared" si="5"/>
        <v>98.26</v>
      </c>
      <c r="DC19">
        <f t="shared" si="6"/>
        <v>36.11</v>
      </c>
    </row>
    <row r="20" spans="1:107">
      <c r="A20">
        <f>ROW(Source!A36)</f>
        <v>36</v>
      </c>
      <c r="B20">
        <v>47920234</v>
      </c>
      <c r="C20">
        <v>47920683</v>
      </c>
      <c r="D20">
        <v>13554849</v>
      </c>
      <c r="E20">
        <v>1</v>
      </c>
      <c r="F20">
        <v>1</v>
      </c>
      <c r="G20">
        <v>1</v>
      </c>
      <c r="H20">
        <v>2</v>
      </c>
      <c r="I20" t="s">
        <v>483</v>
      </c>
      <c r="J20" t="s">
        <v>484</v>
      </c>
      <c r="K20" t="s">
        <v>485</v>
      </c>
      <c r="L20">
        <v>1368</v>
      </c>
      <c r="N20">
        <v>1011</v>
      </c>
      <c r="O20" t="s">
        <v>468</v>
      </c>
      <c r="P20" t="s">
        <v>468</v>
      </c>
      <c r="Q20">
        <v>1</v>
      </c>
      <c r="W20">
        <v>0</v>
      </c>
      <c r="X20">
        <v>-803468359</v>
      </c>
      <c r="Y20">
        <v>27.599999999999998</v>
      </c>
      <c r="AA20">
        <v>0</v>
      </c>
      <c r="AB20">
        <v>276.83999999999997</v>
      </c>
      <c r="AC20">
        <v>0</v>
      </c>
      <c r="AD20">
        <v>0</v>
      </c>
      <c r="AE20">
        <v>0</v>
      </c>
      <c r="AF20">
        <v>35.86</v>
      </c>
      <c r="AG20">
        <v>0</v>
      </c>
      <c r="AH20">
        <v>0</v>
      </c>
      <c r="AI20">
        <v>1</v>
      </c>
      <c r="AJ20">
        <v>7.72</v>
      </c>
      <c r="AK20">
        <v>28.93</v>
      </c>
      <c r="AL20">
        <v>1</v>
      </c>
      <c r="AN20">
        <v>0</v>
      </c>
      <c r="AO20">
        <v>1</v>
      </c>
      <c r="AP20">
        <v>1</v>
      </c>
      <c r="AQ20">
        <v>0</v>
      </c>
      <c r="AR20">
        <v>0</v>
      </c>
      <c r="AS20" t="s">
        <v>3</v>
      </c>
      <c r="AT20">
        <v>20</v>
      </c>
      <c r="AU20" t="s">
        <v>66</v>
      </c>
      <c r="AV20">
        <v>0</v>
      </c>
      <c r="AW20">
        <v>2</v>
      </c>
      <c r="AX20">
        <v>47920698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Y20*Source!I36</f>
        <v>0.24839999999999995</v>
      </c>
      <c r="CY20">
        <f>AB20</f>
        <v>276.83999999999997</v>
      </c>
      <c r="CZ20">
        <f>AF20</f>
        <v>35.86</v>
      </c>
      <c r="DA20">
        <f>AJ20</f>
        <v>7.72</v>
      </c>
      <c r="DB20">
        <f t="shared" si="5"/>
        <v>989.74</v>
      </c>
      <c r="DC20">
        <f t="shared" si="6"/>
        <v>0</v>
      </c>
    </row>
    <row r="21" spans="1:107">
      <c r="A21">
        <f>ROW(Source!A36)</f>
        <v>36</v>
      </c>
      <c r="B21">
        <v>47920234</v>
      </c>
      <c r="C21">
        <v>47920683</v>
      </c>
      <c r="D21">
        <v>13555046</v>
      </c>
      <c r="E21">
        <v>1</v>
      </c>
      <c r="F21">
        <v>1</v>
      </c>
      <c r="G21">
        <v>1</v>
      </c>
      <c r="H21">
        <v>2</v>
      </c>
      <c r="I21" t="s">
        <v>486</v>
      </c>
      <c r="J21" t="s">
        <v>487</v>
      </c>
      <c r="K21" t="s">
        <v>488</v>
      </c>
      <c r="L21">
        <v>1368</v>
      </c>
      <c r="N21">
        <v>1011</v>
      </c>
      <c r="O21" t="s">
        <v>468</v>
      </c>
      <c r="P21" t="s">
        <v>468</v>
      </c>
      <c r="Q21">
        <v>1</v>
      </c>
      <c r="W21">
        <v>0</v>
      </c>
      <c r="X21">
        <v>-7484068</v>
      </c>
      <c r="Y21">
        <v>54.910199999999996</v>
      </c>
      <c r="AA21">
        <v>0</v>
      </c>
      <c r="AB21">
        <v>844.49</v>
      </c>
      <c r="AC21">
        <v>379.56</v>
      </c>
      <c r="AD21">
        <v>0</v>
      </c>
      <c r="AE21">
        <v>0</v>
      </c>
      <c r="AF21">
        <v>109.39</v>
      </c>
      <c r="AG21">
        <v>13.12</v>
      </c>
      <c r="AH21">
        <v>0</v>
      </c>
      <c r="AI21">
        <v>1</v>
      </c>
      <c r="AJ21">
        <v>7.72</v>
      </c>
      <c r="AK21">
        <v>28.93</v>
      </c>
      <c r="AL21">
        <v>1</v>
      </c>
      <c r="AN21">
        <v>0</v>
      </c>
      <c r="AO21">
        <v>1</v>
      </c>
      <c r="AP21">
        <v>1</v>
      </c>
      <c r="AQ21">
        <v>0</v>
      </c>
      <c r="AR21">
        <v>0</v>
      </c>
      <c r="AS21" t="s">
        <v>3</v>
      </c>
      <c r="AT21">
        <v>39.79</v>
      </c>
      <c r="AU21" t="s">
        <v>66</v>
      </c>
      <c r="AV21">
        <v>0</v>
      </c>
      <c r="AW21">
        <v>2</v>
      </c>
      <c r="AX21">
        <v>47920699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Y21*Source!I36</f>
        <v>0.4941917999999999</v>
      </c>
      <c r="CY21">
        <f>AB21</f>
        <v>844.49</v>
      </c>
      <c r="CZ21">
        <f>AF21</f>
        <v>109.39</v>
      </c>
      <c r="DA21">
        <f>AJ21</f>
        <v>7.72</v>
      </c>
      <c r="DB21">
        <f t="shared" si="5"/>
        <v>6006.63</v>
      </c>
      <c r="DC21">
        <f t="shared" si="6"/>
        <v>720.42</v>
      </c>
    </row>
    <row r="22" spans="1:107">
      <c r="A22">
        <f>ROW(Source!A36)</f>
        <v>36</v>
      </c>
      <c r="B22">
        <v>47920234</v>
      </c>
      <c r="C22">
        <v>47920683</v>
      </c>
      <c r="D22">
        <v>13556983</v>
      </c>
      <c r="E22">
        <v>1</v>
      </c>
      <c r="F22">
        <v>1</v>
      </c>
      <c r="G22">
        <v>1</v>
      </c>
      <c r="H22">
        <v>2</v>
      </c>
      <c r="I22" t="s">
        <v>489</v>
      </c>
      <c r="J22" t="s">
        <v>490</v>
      </c>
      <c r="K22" t="s">
        <v>491</v>
      </c>
      <c r="L22">
        <v>1368</v>
      </c>
      <c r="N22">
        <v>1011</v>
      </c>
      <c r="O22" t="s">
        <v>468</v>
      </c>
      <c r="P22" t="s">
        <v>468</v>
      </c>
      <c r="Q22">
        <v>1</v>
      </c>
      <c r="W22">
        <v>0</v>
      </c>
      <c r="X22">
        <v>1849659131</v>
      </c>
      <c r="Y22">
        <v>1.5179999999999998</v>
      </c>
      <c r="AA22">
        <v>0</v>
      </c>
      <c r="AB22">
        <v>623.39</v>
      </c>
      <c r="AC22">
        <v>0</v>
      </c>
      <c r="AD22">
        <v>0</v>
      </c>
      <c r="AE22">
        <v>0</v>
      </c>
      <c r="AF22">
        <v>80.75</v>
      </c>
      <c r="AG22">
        <v>0</v>
      </c>
      <c r="AH22">
        <v>0</v>
      </c>
      <c r="AI22">
        <v>1</v>
      </c>
      <c r="AJ22">
        <v>7.72</v>
      </c>
      <c r="AK22">
        <v>28.93</v>
      </c>
      <c r="AL22">
        <v>1</v>
      </c>
      <c r="AN22">
        <v>0</v>
      </c>
      <c r="AO22">
        <v>1</v>
      </c>
      <c r="AP22">
        <v>1</v>
      </c>
      <c r="AQ22">
        <v>0</v>
      </c>
      <c r="AR22">
        <v>0</v>
      </c>
      <c r="AS22" t="s">
        <v>3</v>
      </c>
      <c r="AT22">
        <v>1.1000000000000001</v>
      </c>
      <c r="AU22" t="s">
        <v>66</v>
      </c>
      <c r="AV22">
        <v>0</v>
      </c>
      <c r="AW22">
        <v>2</v>
      </c>
      <c r="AX22">
        <v>47920700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Y22*Source!I36</f>
        <v>1.3661999999999997E-2</v>
      </c>
      <c r="CY22">
        <f>AB22</f>
        <v>623.39</v>
      </c>
      <c r="CZ22">
        <f>AF22</f>
        <v>80.75</v>
      </c>
      <c r="DA22">
        <f>AJ22</f>
        <v>7.72</v>
      </c>
      <c r="DB22">
        <f t="shared" si="5"/>
        <v>122.59</v>
      </c>
      <c r="DC22">
        <f t="shared" si="6"/>
        <v>0</v>
      </c>
    </row>
    <row r="23" spans="1:107">
      <c r="A23">
        <f>ROW(Source!A36)</f>
        <v>36</v>
      </c>
      <c r="B23">
        <v>47920234</v>
      </c>
      <c r="C23">
        <v>47920683</v>
      </c>
      <c r="D23">
        <v>13560199</v>
      </c>
      <c r="E23">
        <v>1</v>
      </c>
      <c r="F23">
        <v>1</v>
      </c>
      <c r="G23">
        <v>1</v>
      </c>
      <c r="H23">
        <v>3</v>
      </c>
      <c r="I23" t="s">
        <v>492</v>
      </c>
      <c r="J23" t="s">
        <v>493</v>
      </c>
      <c r="K23" t="s">
        <v>494</v>
      </c>
      <c r="L23">
        <v>1327</v>
      </c>
      <c r="N23">
        <v>1005</v>
      </c>
      <c r="O23" t="s">
        <v>495</v>
      </c>
      <c r="P23" t="s">
        <v>495</v>
      </c>
      <c r="Q23">
        <v>1</v>
      </c>
      <c r="W23">
        <v>0</v>
      </c>
      <c r="X23">
        <v>2027704445</v>
      </c>
      <c r="Y23">
        <v>0.44</v>
      </c>
      <c r="AA23">
        <v>38.159999999999997</v>
      </c>
      <c r="AB23">
        <v>0</v>
      </c>
      <c r="AC23">
        <v>0</v>
      </c>
      <c r="AD23">
        <v>0</v>
      </c>
      <c r="AE23">
        <v>7.41</v>
      </c>
      <c r="AF23">
        <v>0</v>
      </c>
      <c r="AG23">
        <v>0</v>
      </c>
      <c r="AH23">
        <v>0</v>
      </c>
      <c r="AI23">
        <v>5.15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0.44</v>
      </c>
      <c r="AU23" t="s">
        <v>3</v>
      </c>
      <c r="AV23">
        <v>0</v>
      </c>
      <c r="AW23">
        <v>2</v>
      </c>
      <c r="AX23">
        <v>47920701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Y23*Source!I36</f>
        <v>3.96E-3</v>
      </c>
      <c r="CY23">
        <f>AA23</f>
        <v>38.159999999999997</v>
      </c>
      <c r="CZ23">
        <f>AE23</f>
        <v>7.41</v>
      </c>
      <c r="DA23">
        <f>AI23</f>
        <v>5.15</v>
      </c>
      <c r="DB23">
        <f>ROUND(ROUND(AT23*CZ23,2),2)</f>
        <v>3.26</v>
      </c>
      <c r="DC23">
        <f>ROUND(ROUND(AT23*AG23,2),2)</f>
        <v>0</v>
      </c>
    </row>
    <row r="24" spans="1:107">
      <c r="A24">
        <f>ROW(Source!A36)</f>
        <v>36</v>
      </c>
      <c r="B24">
        <v>47920234</v>
      </c>
      <c r="C24">
        <v>47920683</v>
      </c>
      <c r="D24">
        <v>13637754</v>
      </c>
      <c r="E24">
        <v>1</v>
      </c>
      <c r="F24">
        <v>1</v>
      </c>
      <c r="G24">
        <v>1</v>
      </c>
      <c r="H24">
        <v>3</v>
      </c>
      <c r="I24" t="s">
        <v>496</v>
      </c>
      <c r="J24" t="s">
        <v>497</v>
      </c>
      <c r="K24" t="s">
        <v>498</v>
      </c>
      <c r="L24">
        <v>1339</v>
      </c>
      <c r="N24">
        <v>1007</v>
      </c>
      <c r="O24" t="s">
        <v>298</v>
      </c>
      <c r="P24" t="s">
        <v>298</v>
      </c>
      <c r="Q24">
        <v>1</v>
      </c>
      <c r="W24">
        <v>0</v>
      </c>
      <c r="X24">
        <v>-129011492</v>
      </c>
      <c r="Y24">
        <v>48</v>
      </c>
      <c r="AA24">
        <v>32.450000000000003</v>
      </c>
      <c r="AB24">
        <v>0</v>
      </c>
      <c r="AC24">
        <v>0</v>
      </c>
      <c r="AD24">
        <v>0</v>
      </c>
      <c r="AE24">
        <v>6.3</v>
      </c>
      <c r="AF24">
        <v>0</v>
      </c>
      <c r="AG24">
        <v>0</v>
      </c>
      <c r="AH24">
        <v>0</v>
      </c>
      <c r="AI24">
        <v>5.15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48</v>
      </c>
      <c r="AU24" t="s">
        <v>3</v>
      </c>
      <c r="AV24">
        <v>0</v>
      </c>
      <c r="AW24">
        <v>2</v>
      </c>
      <c r="AX24">
        <v>47920702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Y24*Source!I36</f>
        <v>0.43199999999999994</v>
      </c>
      <c r="CY24">
        <f>AA24</f>
        <v>32.450000000000003</v>
      </c>
      <c r="CZ24">
        <f>AE24</f>
        <v>6.3</v>
      </c>
      <c r="DA24">
        <f>AI24</f>
        <v>5.15</v>
      </c>
      <c r="DB24">
        <f>ROUND(ROUND(AT24*CZ24,2),2)</f>
        <v>302.39999999999998</v>
      </c>
      <c r="DC24">
        <f>ROUND(ROUND(AT24*AG24,2),2)</f>
        <v>0</v>
      </c>
    </row>
    <row r="25" spans="1:107">
      <c r="A25">
        <f>ROW(Source!A36)</f>
        <v>36</v>
      </c>
      <c r="B25">
        <v>47920234</v>
      </c>
      <c r="C25">
        <v>47920683</v>
      </c>
      <c r="D25">
        <v>13651724</v>
      </c>
      <c r="E25">
        <v>1</v>
      </c>
      <c r="F25">
        <v>1</v>
      </c>
      <c r="G25">
        <v>1</v>
      </c>
      <c r="H25">
        <v>3</v>
      </c>
      <c r="I25" t="s">
        <v>499</v>
      </c>
      <c r="J25" t="s">
        <v>500</v>
      </c>
      <c r="K25" t="s">
        <v>501</v>
      </c>
      <c r="L25">
        <v>1302</v>
      </c>
      <c r="N25">
        <v>1003</v>
      </c>
      <c r="O25" t="s">
        <v>245</v>
      </c>
      <c r="P25" t="s">
        <v>245</v>
      </c>
      <c r="Q25">
        <v>10</v>
      </c>
      <c r="W25">
        <v>0</v>
      </c>
      <c r="X25">
        <v>1825407967</v>
      </c>
      <c r="Y25">
        <v>101</v>
      </c>
      <c r="AA25">
        <v>8098.38</v>
      </c>
      <c r="AB25">
        <v>0</v>
      </c>
      <c r="AC25">
        <v>0</v>
      </c>
      <c r="AD25">
        <v>0</v>
      </c>
      <c r="AE25">
        <v>1572.5</v>
      </c>
      <c r="AF25">
        <v>0</v>
      </c>
      <c r="AG25">
        <v>0</v>
      </c>
      <c r="AH25">
        <v>0</v>
      </c>
      <c r="AI25">
        <v>5.15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101</v>
      </c>
      <c r="AU25" t="s">
        <v>3</v>
      </c>
      <c r="AV25">
        <v>0</v>
      </c>
      <c r="AW25">
        <v>2</v>
      </c>
      <c r="AX25">
        <v>47920703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Y25*Source!I36</f>
        <v>0.90899999999999992</v>
      </c>
      <c r="CY25">
        <f>AA25</f>
        <v>8098.38</v>
      </c>
      <c r="CZ25">
        <f>AE25</f>
        <v>1572.5</v>
      </c>
      <c r="DA25">
        <f>AI25</f>
        <v>5.15</v>
      </c>
      <c r="DB25">
        <f>ROUND(ROUND(AT25*CZ25,2),2)</f>
        <v>158822.5</v>
      </c>
      <c r="DC25">
        <f>ROUND(ROUND(AT25*AG25,2),2)</f>
        <v>0</v>
      </c>
    </row>
    <row r="26" spans="1:107">
      <c r="A26">
        <f>ROW(Source!A37)</f>
        <v>37</v>
      </c>
      <c r="B26">
        <v>47920234</v>
      </c>
      <c r="C26">
        <v>47920704</v>
      </c>
      <c r="D26">
        <v>9914912</v>
      </c>
      <c r="E26">
        <v>1</v>
      </c>
      <c r="F26">
        <v>1</v>
      </c>
      <c r="G26">
        <v>1</v>
      </c>
      <c r="H26">
        <v>1</v>
      </c>
      <c r="I26" t="s">
        <v>502</v>
      </c>
      <c r="J26" t="s">
        <v>3</v>
      </c>
      <c r="K26" t="s">
        <v>503</v>
      </c>
      <c r="L26">
        <v>1191</v>
      </c>
      <c r="N26">
        <v>1013</v>
      </c>
      <c r="O26" t="s">
        <v>460</v>
      </c>
      <c r="P26" t="s">
        <v>460</v>
      </c>
      <c r="Q26">
        <v>1</v>
      </c>
      <c r="W26">
        <v>0</v>
      </c>
      <c r="X26">
        <v>1394748966</v>
      </c>
      <c r="Y26">
        <v>55.199999999999996</v>
      </c>
      <c r="AA26">
        <v>0</v>
      </c>
      <c r="AB26">
        <v>0</v>
      </c>
      <c r="AC26">
        <v>0</v>
      </c>
      <c r="AD26">
        <v>223.34</v>
      </c>
      <c r="AE26">
        <v>0</v>
      </c>
      <c r="AF26">
        <v>0</v>
      </c>
      <c r="AG26">
        <v>0</v>
      </c>
      <c r="AH26">
        <v>7.72</v>
      </c>
      <c r="AI26">
        <v>1</v>
      </c>
      <c r="AJ26">
        <v>1</v>
      </c>
      <c r="AK26">
        <v>1</v>
      </c>
      <c r="AL26">
        <v>28.93</v>
      </c>
      <c r="AN26">
        <v>0</v>
      </c>
      <c r="AO26">
        <v>1</v>
      </c>
      <c r="AP26">
        <v>1</v>
      </c>
      <c r="AQ26">
        <v>0</v>
      </c>
      <c r="AR26">
        <v>0</v>
      </c>
      <c r="AS26" t="s">
        <v>3</v>
      </c>
      <c r="AT26">
        <v>40</v>
      </c>
      <c r="AU26" t="s">
        <v>66</v>
      </c>
      <c r="AV26">
        <v>1</v>
      </c>
      <c r="AW26">
        <v>2</v>
      </c>
      <c r="AX26">
        <v>47920708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Y26*Source!I37</f>
        <v>187.67999999999998</v>
      </c>
      <c r="CY26">
        <f>AD26</f>
        <v>223.34</v>
      </c>
      <c r="CZ26">
        <f>AH26</f>
        <v>7.72</v>
      </c>
      <c r="DA26">
        <f>AL26</f>
        <v>28.93</v>
      </c>
      <c r="DB26">
        <f>ROUND((ROUND(AT26*CZ26,2)*ROUND((1.15*1.2),7)),2)</f>
        <v>426.14</v>
      </c>
      <c r="DC26">
        <f>ROUND((ROUND(AT26*AG26,2)*ROUND((1.15*1.2),7)),2)</f>
        <v>0</v>
      </c>
    </row>
    <row r="27" spans="1:107">
      <c r="A27">
        <f>ROW(Source!A37)</f>
        <v>37</v>
      </c>
      <c r="B27">
        <v>47920234</v>
      </c>
      <c r="C27">
        <v>47920704</v>
      </c>
      <c r="D27">
        <v>121548</v>
      </c>
      <c r="E27">
        <v>1</v>
      </c>
      <c r="F27">
        <v>1</v>
      </c>
      <c r="G27">
        <v>1</v>
      </c>
      <c r="H27">
        <v>1</v>
      </c>
      <c r="I27" t="s">
        <v>26</v>
      </c>
      <c r="J27" t="s">
        <v>3</v>
      </c>
      <c r="K27" t="s">
        <v>461</v>
      </c>
      <c r="L27">
        <v>608254</v>
      </c>
      <c r="N27">
        <v>1013</v>
      </c>
      <c r="O27" t="s">
        <v>462</v>
      </c>
      <c r="P27" t="s">
        <v>462</v>
      </c>
      <c r="Q27">
        <v>1</v>
      </c>
      <c r="W27">
        <v>0</v>
      </c>
      <c r="X27">
        <v>-185737400</v>
      </c>
      <c r="Y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1</v>
      </c>
      <c r="AJ27">
        <v>1</v>
      </c>
      <c r="AK27">
        <v>28.93</v>
      </c>
      <c r="AL27">
        <v>1</v>
      </c>
      <c r="AN27">
        <v>0</v>
      </c>
      <c r="AO27">
        <v>1</v>
      </c>
      <c r="AP27">
        <v>1</v>
      </c>
      <c r="AQ27">
        <v>0</v>
      </c>
      <c r="AR27">
        <v>0</v>
      </c>
      <c r="AS27" t="s">
        <v>3</v>
      </c>
      <c r="AT27">
        <v>0</v>
      </c>
      <c r="AU27" t="s">
        <v>66</v>
      </c>
      <c r="AV27">
        <v>2</v>
      </c>
      <c r="AW27">
        <v>2</v>
      </c>
      <c r="AX27">
        <v>47920709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Y27*Source!I37</f>
        <v>0</v>
      </c>
      <c r="CY27">
        <f>AD27</f>
        <v>0</v>
      </c>
      <c r="CZ27">
        <f>AH27</f>
        <v>0</v>
      </c>
      <c r="DA27">
        <f>AL27</f>
        <v>1</v>
      </c>
      <c r="DB27">
        <f>ROUND((ROUND(AT27*CZ27,2)*ROUND((1.15*1.2),7)),2)</f>
        <v>0</v>
      </c>
      <c r="DC27">
        <f>ROUND((ROUND(AT27*AG27,2)*ROUND((1.15*1.2),7)),2)</f>
        <v>0</v>
      </c>
    </row>
    <row r="28" spans="1:107">
      <c r="A28">
        <f>ROW(Source!A37)</f>
        <v>37</v>
      </c>
      <c r="B28">
        <v>47920234</v>
      </c>
      <c r="C28">
        <v>47920704</v>
      </c>
      <c r="D28">
        <v>13636924</v>
      </c>
      <c r="E28">
        <v>1</v>
      </c>
      <c r="F28">
        <v>1</v>
      </c>
      <c r="G28">
        <v>1</v>
      </c>
      <c r="H28">
        <v>3</v>
      </c>
      <c r="I28" t="s">
        <v>504</v>
      </c>
      <c r="J28" t="s">
        <v>505</v>
      </c>
      <c r="K28" t="s">
        <v>506</v>
      </c>
      <c r="L28">
        <v>1339</v>
      </c>
      <c r="N28">
        <v>1007</v>
      </c>
      <c r="O28" t="s">
        <v>298</v>
      </c>
      <c r="P28" t="s">
        <v>298</v>
      </c>
      <c r="Q28">
        <v>1</v>
      </c>
      <c r="W28">
        <v>0</v>
      </c>
      <c r="X28">
        <v>1319867743</v>
      </c>
      <c r="Y28">
        <v>15</v>
      </c>
      <c r="AA28">
        <v>666.26</v>
      </c>
      <c r="AB28">
        <v>0</v>
      </c>
      <c r="AC28">
        <v>0</v>
      </c>
      <c r="AD28">
        <v>0</v>
      </c>
      <c r="AE28">
        <v>129.37</v>
      </c>
      <c r="AF28">
        <v>0</v>
      </c>
      <c r="AG28">
        <v>0</v>
      </c>
      <c r="AH28">
        <v>0</v>
      </c>
      <c r="AI28">
        <v>5.15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15</v>
      </c>
      <c r="AU28" t="s">
        <v>3</v>
      </c>
      <c r="AV28">
        <v>0</v>
      </c>
      <c r="AW28">
        <v>2</v>
      </c>
      <c r="AX28">
        <v>47920710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Y28*Source!I37</f>
        <v>51</v>
      </c>
      <c r="CY28">
        <f>AA28</f>
        <v>666.26</v>
      </c>
      <c r="CZ28">
        <f>AE28</f>
        <v>129.37</v>
      </c>
      <c r="DA28">
        <f>AI28</f>
        <v>5.15</v>
      </c>
      <c r="DB28">
        <f>ROUND(ROUND(AT28*CZ28,2),2)</f>
        <v>1940.55</v>
      </c>
      <c r="DC28">
        <f>ROUND(ROUND(AT28*AG28,2),2)</f>
        <v>0</v>
      </c>
    </row>
    <row r="29" spans="1:107">
      <c r="A29">
        <f>ROW(Source!A38)</f>
        <v>38</v>
      </c>
      <c r="B29">
        <v>47920234</v>
      </c>
      <c r="C29">
        <v>47920711</v>
      </c>
      <c r="D29">
        <v>9914912</v>
      </c>
      <c r="E29">
        <v>1</v>
      </c>
      <c r="F29">
        <v>1</v>
      </c>
      <c r="G29">
        <v>1</v>
      </c>
      <c r="H29">
        <v>1</v>
      </c>
      <c r="I29" t="s">
        <v>502</v>
      </c>
      <c r="J29" t="s">
        <v>3</v>
      </c>
      <c r="K29" t="s">
        <v>503</v>
      </c>
      <c r="L29">
        <v>1191</v>
      </c>
      <c r="N29">
        <v>1013</v>
      </c>
      <c r="O29" t="s">
        <v>460</v>
      </c>
      <c r="P29" t="s">
        <v>460</v>
      </c>
      <c r="Q29">
        <v>1</v>
      </c>
      <c r="W29">
        <v>0</v>
      </c>
      <c r="X29">
        <v>1394748966</v>
      </c>
      <c r="Y29">
        <v>7.5485999999999986</v>
      </c>
      <c r="AA29">
        <v>0</v>
      </c>
      <c r="AB29">
        <v>0</v>
      </c>
      <c r="AC29">
        <v>0</v>
      </c>
      <c r="AD29">
        <v>223.34</v>
      </c>
      <c r="AE29">
        <v>0</v>
      </c>
      <c r="AF29">
        <v>0</v>
      </c>
      <c r="AG29">
        <v>0</v>
      </c>
      <c r="AH29">
        <v>7.72</v>
      </c>
      <c r="AI29">
        <v>1</v>
      </c>
      <c r="AJ29">
        <v>1</v>
      </c>
      <c r="AK29">
        <v>1</v>
      </c>
      <c r="AL29">
        <v>28.93</v>
      </c>
      <c r="AN29">
        <v>0</v>
      </c>
      <c r="AO29">
        <v>1</v>
      </c>
      <c r="AP29">
        <v>1</v>
      </c>
      <c r="AQ29">
        <v>0</v>
      </c>
      <c r="AR29">
        <v>0</v>
      </c>
      <c r="AS29" t="s">
        <v>3</v>
      </c>
      <c r="AT29">
        <v>5.47</v>
      </c>
      <c r="AU29" t="s">
        <v>20</v>
      </c>
      <c r="AV29">
        <v>1</v>
      </c>
      <c r="AW29">
        <v>2</v>
      </c>
      <c r="AX29">
        <v>47920715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Y29*Source!I38</f>
        <v>-25.665239999999994</v>
      </c>
      <c r="CY29">
        <f>AD29</f>
        <v>223.34</v>
      </c>
      <c r="CZ29">
        <f>AH29</f>
        <v>7.72</v>
      </c>
      <c r="DA29">
        <f>AL29</f>
        <v>28.93</v>
      </c>
      <c r="DB29">
        <f>ROUND((ROUND(AT29*CZ29,2)*ROUND((1.2*1.15),7)),2)</f>
        <v>58.28</v>
      </c>
      <c r="DC29">
        <f>ROUND((ROUND(AT29*AG29,2)*ROUND((1.2*1.15),7)),2)</f>
        <v>0</v>
      </c>
    </row>
    <row r="30" spans="1:107">
      <c r="A30">
        <f>ROW(Source!A38)</f>
        <v>38</v>
      </c>
      <c r="B30">
        <v>47920234</v>
      </c>
      <c r="C30">
        <v>47920711</v>
      </c>
      <c r="D30">
        <v>121548</v>
      </c>
      <c r="E30">
        <v>1</v>
      </c>
      <c r="F30">
        <v>1</v>
      </c>
      <c r="G30">
        <v>1</v>
      </c>
      <c r="H30">
        <v>1</v>
      </c>
      <c r="I30" t="s">
        <v>26</v>
      </c>
      <c r="J30" t="s">
        <v>3</v>
      </c>
      <c r="K30" t="s">
        <v>461</v>
      </c>
      <c r="L30">
        <v>608254</v>
      </c>
      <c r="N30">
        <v>1013</v>
      </c>
      <c r="O30" t="s">
        <v>462</v>
      </c>
      <c r="P30" t="s">
        <v>462</v>
      </c>
      <c r="Q30">
        <v>1</v>
      </c>
      <c r="W30">
        <v>0</v>
      </c>
      <c r="X30">
        <v>-185737400</v>
      </c>
      <c r="Y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28.93</v>
      </c>
      <c r="AL30">
        <v>1</v>
      </c>
      <c r="AN30">
        <v>0</v>
      </c>
      <c r="AO30">
        <v>1</v>
      </c>
      <c r="AP30">
        <v>1</v>
      </c>
      <c r="AQ30">
        <v>0</v>
      </c>
      <c r="AR30">
        <v>0</v>
      </c>
      <c r="AS30" t="s">
        <v>3</v>
      </c>
      <c r="AT30">
        <v>0</v>
      </c>
      <c r="AU30" t="s">
        <v>20</v>
      </c>
      <c r="AV30">
        <v>2</v>
      </c>
      <c r="AW30">
        <v>2</v>
      </c>
      <c r="AX30">
        <v>47920716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Y30*Source!I38</f>
        <v>0</v>
      </c>
      <c r="CY30">
        <f>AD30</f>
        <v>0</v>
      </c>
      <c r="CZ30">
        <f>AH30</f>
        <v>0</v>
      </c>
      <c r="DA30">
        <f>AL30</f>
        <v>1</v>
      </c>
      <c r="DB30">
        <f>ROUND((ROUND(AT30*CZ30,2)*ROUND((1.2*1.15),7)),2)</f>
        <v>0</v>
      </c>
      <c r="DC30">
        <f>ROUND((ROUND(AT30*AG30,2)*ROUND((1.2*1.15),7)),2)</f>
        <v>0</v>
      </c>
    </row>
    <row r="31" spans="1:107">
      <c r="A31">
        <f>ROW(Source!A38)</f>
        <v>38</v>
      </c>
      <c r="B31">
        <v>47920234</v>
      </c>
      <c r="C31">
        <v>47920711</v>
      </c>
      <c r="D31">
        <v>13636924</v>
      </c>
      <c r="E31">
        <v>1</v>
      </c>
      <c r="F31">
        <v>1</v>
      </c>
      <c r="G31">
        <v>1</v>
      </c>
      <c r="H31">
        <v>3</v>
      </c>
      <c r="I31" t="s">
        <v>504</v>
      </c>
      <c r="J31" t="s">
        <v>505</v>
      </c>
      <c r="K31" t="s">
        <v>506</v>
      </c>
      <c r="L31">
        <v>1339</v>
      </c>
      <c r="N31">
        <v>1007</v>
      </c>
      <c r="O31" t="s">
        <v>298</v>
      </c>
      <c r="P31" t="s">
        <v>298</v>
      </c>
      <c r="Q31">
        <v>1</v>
      </c>
      <c r="W31">
        <v>0</v>
      </c>
      <c r="X31">
        <v>1319867743</v>
      </c>
      <c r="Y31">
        <v>5</v>
      </c>
      <c r="AA31">
        <v>666.26</v>
      </c>
      <c r="AB31">
        <v>0</v>
      </c>
      <c r="AC31">
        <v>0</v>
      </c>
      <c r="AD31">
        <v>0</v>
      </c>
      <c r="AE31">
        <v>129.37</v>
      </c>
      <c r="AF31">
        <v>0</v>
      </c>
      <c r="AG31">
        <v>0</v>
      </c>
      <c r="AH31">
        <v>0</v>
      </c>
      <c r="AI31">
        <v>5.15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5</v>
      </c>
      <c r="AU31" t="s">
        <v>3</v>
      </c>
      <c r="AV31">
        <v>0</v>
      </c>
      <c r="AW31">
        <v>2</v>
      </c>
      <c r="AX31">
        <v>47920717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Y31*Source!I38</f>
        <v>-17</v>
      </c>
      <c r="CY31">
        <f>AA31</f>
        <v>666.26</v>
      </c>
      <c r="CZ31">
        <f>AE31</f>
        <v>129.37</v>
      </c>
      <c r="DA31">
        <f>AI31</f>
        <v>5.15</v>
      </c>
      <c r="DB31">
        <f>ROUND(ROUND(AT31*CZ31,2),2)</f>
        <v>646.85</v>
      </c>
      <c r="DC31">
        <f>ROUND(ROUND(AT31*AG31,2),2)</f>
        <v>0</v>
      </c>
    </row>
    <row r="32" spans="1:107">
      <c r="A32">
        <f>ROW(Source!A83)</f>
        <v>83</v>
      </c>
      <c r="B32">
        <v>47920234</v>
      </c>
      <c r="C32">
        <v>47920718</v>
      </c>
      <c r="D32">
        <v>9915120</v>
      </c>
      <c r="E32">
        <v>1</v>
      </c>
      <c r="F32">
        <v>1</v>
      </c>
      <c r="G32">
        <v>1</v>
      </c>
      <c r="H32">
        <v>1</v>
      </c>
      <c r="I32" t="s">
        <v>507</v>
      </c>
      <c r="J32" t="s">
        <v>3</v>
      </c>
      <c r="K32" t="s">
        <v>508</v>
      </c>
      <c r="L32">
        <v>1191</v>
      </c>
      <c r="N32">
        <v>1013</v>
      </c>
      <c r="O32" t="s">
        <v>460</v>
      </c>
      <c r="P32" t="s">
        <v>460</v>
      </c>
      <c r="Q32">
        <v>1</v>
      </c>
      <c r="W32">
        <v>0</v>
      </c>
      <c r="X32">
        <v>1028592258</v>
      </c>
      <c r="Y32">
        <v>7.3139999999999992</v>
      </c>
      <c r="AA32">
        <v>0</v>
      </c>
      <c r="AB32">
        <v>0</v>
      </c>
      <c r="AC32">
        <v>0</v>
      </c>
      <c r="AD32">
        <v>270.5</v>
      </c>
      <c r="AE32">
        <v>0</v>
      </c>
      <c r="AF32">
        <v>0</v>
      </c>
      <c r="AG32">
        <v>0</v>
      </c>
      <c r="AH32">
        <v>9.35</v>
      </c>
      <c r="AI32">
        <v>1</v>
      </c>
      <c r="AJ32">
        <v>1</v>
      </c>
      <c r="AK32">
        <v>1</v>
      </c>
      <c r="AL32">
        <v>28.93</v>
      </c>
      <c r="AN32">
        <v>0</v>
      </c>
      <c r="AO32">
        <v>1</v>
      </c>
      <c r="AP32">
        <v>1</v>
      </c>
      <c r="AQ32">
        <v>0</v>
      </c>
      <c r="AR32">
        <v>0</v>
      </c>
      <c r="AS32" t="s">
        <v>3</v>
      </c>
      <c r="AT32">
        <v>5.3</v>
      </c>
      <c r="AU32" t="s">
        <v>20</v>
      </c>
      <c r="AV32">
        <v>1</v>
      </c>
      <c r="AW32">
        <v>2</v>
      </c>
      <c r="AX32">
        <v>47920723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Y32*Source!I83</f>
        <v>27.720059999999997</v>
      </c>
      <c r="CY32">
        <f>AD32</f>
        <v>270.5</v>
      </c>
      <c r="CZ32">
        <f>AH32</f>
        <v>9.35</v>
      </c>
      <c r="DA32">
        <f>AL32</f>
        <v>28.93</v>
      </c>
      <c r="DB32">
        <f>ROUND((ROUND(AT32*CZ32,2)*ROUND((1.2*1.15),7)),2)</f>
        <v>68.39</v>
      </c>
      <c r="DC32">
        <f>ROUND((ROUND(AT32*AG32,2)*ROUND((1.2*1.15),7)),2)</f>
        <v>0</v>
      </c>
    </row>
    <row r="33" spans="1:107">
      <c r="A33">
        <f>ROW(Source!A83)</f>
        <v>83</v>
      </c>
      <c r="B33">
        <v>47920234</v>
      </c>
      <c r="C33">
        <v>47920718</v>
      </c>
      <c r="D33">
        <v>121548</v>
      </c>
      <c r="E33">
        <v>1</v>
      </c>
      <c r="F33">
        <v>1</v>
      </c>
      <c r="G33">
        <v>1</v>
      </c>
      <c r="H33">
        <v>1</v>
      </c>
      <c r="I33" t="s">
        <v>26</v>
      </c>
      <c r="J33" t="s">
        <v>3</v>
      </c>
      <c r="K33" t="s">
        <v>461</v>
      </c>
      <c r="L33">
        <v>608254</v>
      </c>
      <c r="N33">
        <v>1013</v>
      </c>
      <c r="O33" t="s">
        <v>462</v>
      </c>
      <c r="P33" t="s">
        <v>462</v>
      </c>
      <c r="Q33">
        <v>1</v>
      </c>
      <c r="W33">
        <v>0</v>
      </c>
      <c r="X33">
        <v>-185737400</v>
      </c>
      <c r="Y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1</v>
      </c>
      <c r="AJ33">
        <v>1</v>
      </c>
      <c r="AK33">
        <v>28.93</v>
      </c>
      <c r="AL33">
        <v>1</v>
      </c>
      <c r="AN33">
        <v>0</v>
      </c>
      <c r="AO33">
        <v>1</v>
      </c>
      <c r="AP33">
        <v>1</v>
      </c>
      <c r="AQ33">
        <v>0</v>
      </c>
      <c r="AR33">
        <v>0</v>
      </c>
      <c r="AS33" t="s">
        <v>3</v>
      </c>
      <c r="AT33">
        <v>0</v>
      </c>
      <c r="AU33" t="s">
        <v>20</v>
      </c>
      <c r="AV33">
        <v>2</v>
      </c>
      <c r="AW33">
        <v>2</v>
      </c>
      <c r="AX33">
        <v>47920724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Y33*Source!I83</f>
        <v>0</v>
      </c>
      <c r="CY33">
        <f>AD33</f>
        <v>0</v>
      </c>
      <c r="CZ33">
        <f>AH33</f>
        <v>0</v>
      </c>
      <c r="DA33">
        <f>AL33</f>
        <v>1</v>
      </c>
      <c r="DB33">
        <f>ROUND((ROUND(AT33*CZ33,2)*ROUND((1.2*1.15),7)),2)</f>
        <v>0</v>
      </c>
      <c r="DC33">
        <f>ROUND((ROUND(AT33*AG33,2)*ROUND((1.2*1.15),7)),2)</f>
        <v>0</v>
      </c>
    </row>
    <row r="34" spans="1:107">
      <c r="A34">
        <f>ROW(Source!A83)</f>
        <v>83</v>
      </c>
      <c r="B34">
        <v>47920234</v>
      </c>
      <c r="C34">
        <v>47920718</v>
      </c>
      <c r="D34">
        <v>13556983</v>
      </c>
      <c r="E34">
        <v>1</v>
      </c>
      <c r="F34">
        <v>1</v>
      </c>
      <c r="G34">
        <v>1</v>
      </c>
      <c r="H34">
        <v>2</v>
      </c>
      <c r="I34" t="s">
        <v>489</v>
      </c>
      <c r="J34" t="s">
        <v>490</v>
      </c>
      <c r="K34" t="s">
        <v>491</v>
      </c>
      <c r="L34">
        <v>1368</v>
      </c>
      <c r="N34">
        <v>1011</v>
      </c>
      <c r="O34" t="s">
        <v>468</v>
      </c>
      <c r="P34" t="s">
        <v>468</v>
      </c>
      <c r="Q34">
        <v>1</v>
      </c>
      <c r="W34">
        <v>0</v>
      </c>
      <c r="X34">
        <v>1849659131</v>
      </c>
      <c r="Y34">
        <v>5.3819999999999997</v>
      </c>
      <c r="AA34">
        <v>0</v>
      </c>
      <c r="AB34">
        <v>623.39</v>
      </c>
      <c r="AC34">
        <v>0</v>
      </c>
      <c r="AD34">
        <v>0</v>
      </c>
      <c r="AE34">
        <v>0</v>
      </c>
      <c r="AF34">
        <v>80.75</v>
      </c>
      <c r="AG34">
        <v>0</v>
      </c>
      <c r="AH34">
        <v>0</v>
      </c>
      <c r="AI34">
        <v>1</v>
      </c>
      <c r="AJ34">
        <v>7.72</v>
      </c>
      <c r="AK34">
        <v>28.93</v>
      </c>
      <c r="AL34">
        <v>1</v>
      </c>
      <c r="AN34">
        <v>0</v>
      </c>
      <c r="AO34">
        <v>1</v>
      </c>
      <c r="AP34">
        <v>1</v>
      </c>
      <c r="AQ34">
        <v>0</v>
      </c>
      <c r="AR34">
        <v>0</v>
      </c>
      <c r="AS34" t="s">
        <v>3</v>
      </c>
      <c r="AT34">
        <v>3.9</v>
      </c>
      <c r="AU34" t="s">
        <v>20</v>
      </c>
      <c r="AV34">
        <v>0</v>
      </c>
      <c r="AW34">
        <v>2</v>
      </c>
      <c r="AX34">
        <v>47920725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Y34*Source!I83</f>
        <v>20.397779999999997</v>
      </c>
      <c r="CY34">
        <f>AB34</f>
        <v>623.39</v>
      </c>
      <c r="CZ34">
        <f>AF34</f>
        <v>80.75</v>
      </c>
      <c r="DA34">
        <f>AJ34</f>
        <v>7.72</v>
      </c>
      <c r="DB34">
        <f>ROUND((ROUND(AT34*CZ34,2)*ROUND((1.2*1.15),7)),2)</f>
        <v>434.6</v>
      </c>
      <c r="DC34">
        <f>ROUND((ROUND(AT34*AG34,2)*ROUND((1.2*1.15),7)),2)</f>
        <v>0</v>
      </c>
    </row>
    <row r="35" spans="1:107">
      <c r="A35">
        <f>ROW(Source!A83)</f>
        <v>83</v>
      </c>
      <c r="B35">
        <v>47920234</v>
      </c>
      <c r="C35">
        <v>47920718</v>
      </c>
      <c r="D35">
        <v>13758332</v>
      </c>
      <c r="E35">
        <v>1</v>
      </c>
      <c r="F35">
        <v>1</v>
      </c>
      <c r="G35">
        <v>1</v>
      </c>
      <c r="H35">
        <v>3</v>
      </c>
      <c r="I35" t="s">
        <v>509</v>
      </c>
      <c r="J35" t="s">
        <v>510</v>
      </c>
      <c r="K35" t="s">
        <v>511</v>
      </c>
      <c r="L35">
        <v>1374</v>
      </c>
      <c r="N35">
        <v>1013</v>
      </c>
      <c r="O35" t="s">
        <v>512</v>
      </c>
      <c r="P35" t="s">
        <v>512</v>
      </c>
      <c r="Q35">
        <v>1</v>
      </c>
      <c r="W35">
        <v>0</v>
      </c>
      <c r="X35">
        <v>1723657366</v>
      </c>
      <c r="Y35">
        <v>0.99</v>
      </c>
      <c r="AA35">
        <v>5.15</v>
      </c>
      <c r="AB35">
        <v>0</v>
      </c>
      <c r="AC35">
        <v>0</v>
      </c>
      <c r="AD35">
        <v>0</v>
      </c>
      <c r="AE35">
        <v>1</v>
      </c>
      <c r="AF35">
        <v>0</v>
      </c>
      <c r="AG35">
        <v>0</v>
      </c>
      <c r="AH35">
        <v>0</v>
      </c>
      <c r="AI35">
        <v>5.15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0.99</v>
      </c>
      <c r="AU35" t="s">
        <v>3</v>
      </c>
      <c r="AV35">
        <v>0</v>
      </c>
      <c r="AW35">
        <v>2</v>
      </c>
      <c r="AX35">
        <v>47920726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Y35*Source!I83</f>
        <v>3.7521</v>
      </c>
      <c r="CY35">
        <f>AA35</f>
        <v>5.15</v>
      </c>
      <c r="CZ35">
        <f>AE35</f>
        <v>1</v>
      </c>
      <c r="DA35">
        <f>AI35</f>
        <v>5.15</v>
      </c>
      <c r="DB35">
        <f>ROUND(ROUND(AT35*CZ35,2),2)</f>
        <v>0.99</v>
      </c>
      <c r="DC35">
        <f>ROUND(ROUND(AT35*AG35,2),2)</f>
        <v>0</v>
      </c>
    </row>
    <row r="36" spans="1:107">
      <c r="A36">
        <f>ROW(Source!A84)</f>
        <v>84</v>
      </c>
      <c r="B36">
        <v>47920234</v>
      </c>
      <c r="C36">
        <v>47920727</v>
      </c>
      <c r="D36">
        <v>9915120</v>
      </c>
      <c r="E36">
        <v>1</v>
      </c>
      <c r="F36">
        <v>1</v>
      </c>
      <c r="G36">
        <v>1</v>
      </c>
      <c r="H36">
        <v>1</v>
      </c>
      <c r="I36" t="s">
        <v>507</v>
      </c>
      <c r="J36" t="s">
        <v>3</v>
      </c>
      <c r="K36" t="s">
        <v>508</v>
      </c>
      <c r="L36">
        <v>1191</v>
      </c>
      <c r="N36">
        <v>1013</v>
      </c>
      <c r="O36" t="s">
        <v>460</v>
      </c>
      <c r="P36" t="s">
        <v>460</v>
      </c>
      <c r="Q36">
        <v>1</v>
      </c>
      <c r="W36">
        <v>0</v>
      </c>
      <c r="X36">
        <v>1028592258</v>
      </c>
      <c r="Y36">
        <v>2.7461999999999995</v>
      </c>
      <c r="AA36">
        <v>0</v>
      </c>
      <c r="AB36">
        <v>0</v>
      </c>
      <c r="AC36">
        <v>0</v>
      </c>
      <c r="AD36">
        <v>270.5</v>
      </c>
      <c r="AE36">
        <v>0</v>
      </c>
      <c r="AF36">
        <v>0</v>
      </c>
      <c r="AG36">
        <v>0</v>
      </c>
      <c r="AH36">
        <v>9.35</v>
      </c>
      <c r="AI36">
        <v>1</v>
      </c>
      <c r="AJ36">
        <v>1</v>
      </c>
      <c r="AK36">
        <v>1</v>
      </c>
      <c r="AL36">
        <v>28.93</v>
      </c>
      <c r="AN36">
        <v>0</v>
      </c>
      <c r="AO36">
        <v>1</v>
      </c>
      <c r="AP36">
        <v>1</v>
      </c>
      <c r="AQ36">
        <v>0</v>
      </c>
      <c r="AR36">
        <v>0</v>
      </c>
      <c r="AS36" t="s">
        <v>3</v>
      </c>
      <c r="AT36">
        <v>1.99</v>
      </c>
      <c r="AU36" t="s">
        <v>20</v>
      </c>
      <c r="AV36">
        <v>1</v>
      </c>
      <c r="AW36">
        <v>2</v>
      </c>
      <c r="AX36">
        <v>47920732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Y36*Source!I84</f>
        <v>10.408097999999999</v>
      </c>
      <c r="CY36">
        <f>AD36</f>
        <v>270.5</v>
      </c>
      <c r="CZ36">
        <f>AH36</f>
        <v>9.35</v>
      </c>
      <c r="DA36">
        <f>AL36</f>
        <v>28.93</v>
      </c>
      <c r="DB36">
        <f>ROUND((ROUND(AT36*CZ36,2)*ROUND((1.2*1.15),7)),2)</f>
        <v>25.68</v>
      </c>
      <c r="DC36">
        <f>ROUND((ROUND(AT36*AG36,2)*ROUND((1.2*1.15),7)),2)</f>
        <v>0</v>
      </c>
    </row>
    <row r="37" spans="1:107">
      <c r="A37">
        <f>ROW(Source!A84)</f>
        <v>84</v>
      </c>
      <c r="B37">
        <v>47920234</v>
      </c>
      <c r="C37">
        <v>47920727</v>
      </c>
      <c r="D37">
        <v>121548</v>
      </c>
      <c r="E37">
        <v>1</v>
      </c>
      <c r="F37">
        <v>1</v>
      </c>
      <c r="G37">
        <v>1</v>
      </c>
      <c r="H37">
        <v>1</v>
      </c>
      <c r="I37" t="s">
        <v>26</v>
      </c>
      <c r="J37" t="s">
        <v>3</v>
      </c>
      <c r="K37" t="s">
        <v>461</v>
      </c>
      <c r="L37">
        <v>608254</v>
      </c>
      <c r="N37">
        <v>1013</v>
      </c>
      <c r="O37" t="s">
        <v>462</v>
      </c>
      <c r="P37" t="s">
        <v>462</v>
      </c>
      <c r="Q37">
        <v>1</v>
      </c>
      <c r="W37">
        <v>0</v>
      </c>
      <c r="X37">
        <v>-185737400</v>
      </c>
      <c r="Y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</v>
      </c>
      <c r="AJ37">
        <v>1</v>
      </c>
      <c r="AK37">
        <v>28.93</v>
      </c>
      <c r="AL37">
        <v>1</v>
      </c>
      <c r="AN37">
        <v>0</v>
      </c>
      <c r="AO37">
        <v>1</v>
      </c>
      <c r="AP37">
        <v>1</v>
      </c>
      <c r="AQ37">
        <v>0</v>
      </c>
      <c r="AR37">
        <v>0</v>
      </c>
      <c r="AS37" t="s">
        <v>3</v>
      </c>
      <c r="AT37">
        <v>0</v>
      </c>
      <c r="AU37" t="s">
        <v>20</v>
      </c>
      <c r="AV37">
        <v>2</v>
      </c>
      <c r="AW37">
        <v>2</v>
      </c>
      <c r="AX37">
        <v>47920733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Y37*Source!I84</f>
        <v>0</v>
      </c>
      <c r="CY37">
        <f>AD37</f>
        <v>0</v>
      </c>
      <c r="CZ37">
        <f>AH37</f>
        <v>0</v>
      </c>
      <c r="DA37">
        <f>AL37</f>
        <v>1</v>
      </c>
      <c r="DB37">
        <f>ROUND((ROUND(AT37*CZ37,2)*ROUND((1.2*1.15),7)),2)</f>
        <v>0</v>
      </c>
      <c r="DC37">
        <f>ROUND((ROUND(AT37*AG37,2)*ROUND((1.2*1.15),7)),2)</f>
        <v>0</v>
      </c>
    </row>
    <row r="38" spans="1:107">
      <c r="A38">
        <f>ROW(Source!A84)</f>
        <v>84</v>
      </c>
      <c r="B38">
        <v>47920234</v>
      </c>
      <c r="C38">
        <v>47920727</v>
      </c>
      <c r="D38">
        <v>13556983</v>
      </c>
      <c r="E38">
        <v>1</v>
      </c>
      <c r="F38">
        <v>1</v>
      </c>
      <c r="G38">
        <v>1</v>
      </c>
      <c r="H38">
        <v>2</v>
      </c>
      <c r="I38" t="s">
        <v>489</v>
      </c>
      <c r="J38" t="s">
        <v>490</v>
      </c>
      <c r="K38" t="s">
        <v>491</v>
      </c>
      <c r="L38">
        <v>1368</v>
      </c>
      <c r="N38">
        <v>1011</v>
      </c>
      <c r="O38" t="s">
        <v>468</v>
      </c>
      <c r="P38" t="s">
        <v>468</v>
      </c>
      <c r="Q38">
        <v>1</v>
      </c>
      <c r="W38">
        <v>0</v>
      </c>
      <c r="X38">
        <v>1849659131</v>
      </c>
      <c r="Y38">
        <v>0.1104</v>
      </c>
      <c r="AA38">
        <v>0</v>
      </c>
      <c r="AB38">
        <v>623.39</v>
      </c>
      <c r="AC38">
        <v>0</v>
      </c>
      <c r="AD38">
        <v>0</v>
      </c>
      <c r="AE38">
        <v>0</v>
      </c>
      <c r="AF38">
        <v>80.75</v>
      </c>
      <c r="AG38">
        <v>0</v>
      </c>
      <c r="AH38">
        <v>0</v>
      </c>
      <c r="AI38">
        <v>1</v>
      </c>
      <c r="AJ38">
        <v>7.72</v>
      </c>
      <c r="AK38">
        <v>28.93</v>
      </c>
      <c r="AL38">
        <v>1</v>
      </c>
      <c r="AN38">
        <v>0</v>
      </c>
      <c r="AO38">
        <v>1</v>
      </c>
      <c r="AP38">
        <v>1</v>
      </c>
      <c r="AQ38">
        <v>0</v>
      </c>
      <c r="AR38">
        <v>0</v>
      </c>
      <c r="AS38" t="s">
        <v>3</v>
      </c>
      <c r="AT38">
        <v>0.08</v>
      </c>
      <c r="AU38" t="s">
        <v>20</v>
      </c>
      <c r="AV38">
        <v>0</v>
      </c>
      <c r="AW38">
        <v>2</v>
      </c>
      <c r="AX38">
        <v>47920734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Y38*Source!I84</f>
        <v>0.41841600000000001</v>
      </c>
      <c r="CY38">
        <f>AB38</f>
        <v>623.39</v>
      </c>
      <c r="CZ38">
        <f>AF38</f>
        <v>80.75</v>
      </c>
      <c r="DA38">
        <f>AJ38</f>
        <v>7.72</v>
      </c>
      <c r="DB38">
        <f>ROUND((ROUND(AT38*CZ38,2)*ROUND((1.2*1.15),7)),2)</f>
        <v>8.91</v>
      </c>
      <c r="DC38">
        <f>ROUND((ROUND(AT38*AG38,2)*ROUND((1.2*1.15),7)),2)</f>
        <v>0</v>
      </c>
    </row>
    <row r="39" spans="1:107">
      <c r="A39">
        <f>ROW(Source!A84)</f>
        <v>84</v>
      </c>
      <c r="B39">
        <v>47920234</v>
      </c>
      <c r="C39">
        <v>47920727</v>
      </c>
      <c r="D39">
        <v>13758332</v>
      </c>
      <c r="E39">
        <v>1</v>
      </c>
      <c r="F39">
        <v>1</v>
      </c>
      <c r="G39">
        <v>1</v>
      </c>
      <c r="H39">
        <v>3</v>
      </c>
      <c r="I39" t="s">
        <v>509</v>
      </c>
      <c r="J39" t="s">
        <v>510</v>
      </c>
      <c r="K39" t="s">
        <v>511</v>
      </c>
      <c r="L39">
        <v>1374</v>
      </c>
      <c r="N39">
        <v>1013</v>
      </c>
      <c r="O39" t="s">
        <v>512</v>
      </c>
      <c r="P39" t="s">
        <v>512</v>
      </c>
      <c r="Q39">
        <v>1</v>
      </c>
      <c r="W39">
        <v>0</v>
      </c>
      <c r="X39">
        <v>1723657366</v>
      </c>
      <c r="Y39">
        <v>0.37</v>
      </c>
      <c r="AA39">
        <v>5.15</v>
      </c>
      <c r="AB39">
        <v>0</v>
      </c>
      <c r="AC39">
        <v>0</v>
      </c>
      <c r="AD39">
        <v>0</v>
      </c>
      <c r="AE39">
        <v>1</v>
      </c>
      <c r="AF39">
        <v>0</v>
      </c>
      <c r="AG39">
        <v>0</v>
      </c>
      <c r="AH39">
        <v>0</v>
      </c>
      <c r="AI39">
        <v>5.15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0.37</v>
      </c>
      <c r="AU39" t="s">
        <v>3</v>
      </c>
      <c r="AV39">
        <v>0</v>
      </c>
      <c r="AW39">
        <v>2</v>
      </c>
      <c r="AX39">
        <v>47920735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Y39*Source!I84</f>
        <v>1.4023000000000001</v>
      </c>
      <c r="CY39">
        <f>AA39</f>
        <v>5.15</v>
      </c>
      <c r="CZ39">
        <f>AE39</f>
        <v>1</v>
      </c>
      <c r="DA39">
        <f>AI39</f>
        <v>5.15</v>
      </c>
      <c r="DB39">
        <f>ROUND(ROUND(AT39*CZ39,2),2)</f>
        <v>0.37</v>
      </c>
      <c r="DC39">
        <f>ROUND(ROUND(AT39*AG39,2),2)</f>
        <v>0</v>
      </c>
    </row>
    <row r="40" spans="1:107">
      <c r="A40">
        <f>ROW(Source!A85)</f>
        <v>85</v>
      </c>
      <c r="B40">
        <v>47920234</v>
      </c>
      <c r="C40">
        <v>47920736</v>
      </c>
      <c r="D40">
        <v>9915120</v>
      </c>
      <c r="E40">
        <v>1</v>
      </c>
      <c r="F40">
        <v>1</v>
      </c>
      <c r="G40">
        <v>1</v>
      </c>
      <c r="H40">
        <v>1</v>
      </c>
      <c r="I40" t="s">
        <v>507</v>
      </c>
      <c r="J40" t="s">
        <v>3</v>
      </c>
      <c r="K40" t="s">
        <v>508</v>
      </c>
      <c r="L40">
        <v>1191</v>
      </c>
      <c r="N40">
        <v>1013</v>
      </c>
      <c r="O40" t="s">
        <v>460</v>
      </c>
      <c r="P40" t="s">
        <v>460</v>
      </c>
      <c r="Q40">
        <v>1</v>
      </c>
      <c r="W40">
        <v>0</v>
      </c>
      <c r="X40">
        <v>1028592258</v>
      </c>
      <c r="Y40">
        <v>7.1897999999999991</v>
      </c>
      <c r="AA40">
        <v>0</v>
      </c>
      <c r="AB40">
        <v>0</v>
      </c>
      <c r="AC40">
        <v>0</v>
      </c>
      <c r="AD40">
        <v>270.5</v>
      </c>
      <c r="AE40">
        <v>0</v>
      </c>
      <c r="AF40">
        <v>0</v>
      </c>
      <c r="AG40">
        <v>0</v>
      </c>
      <c r="AH40">
        <v>9.35</v>
      </c>
      <c r="AI40">
        <v>1</v>
      </c>
      <c r="AJ40">
        <v>1</v>
      </c>
      <c r="AK40">
        <v>1</v>
      </c>
      <c r="AL40">
        <v>28.93</v>
      </c>
      <c r="AN40">
        <v>0</v>
      </c>
      <c r="AO40">
        <v>1</v>
      </c>
      <c r="AP40">
        <v>1</v>
      </c>
      <c r="AQ40">
        <v>0</v>
      </c>
      <c r="AR40">
        <v>0</v>
      </c>
      <c r="AS40" t="s">
        <v>3</v>
      </c>
      <c r="AT40">
        <v>5.21</v>
      </c>
      <c r="AU40" t="s">
        <v>20</v>
      </c>
      <c r="AV40">
        <v>1</v>
      </c>
      <c r="AW40">
        <v>2</v>
      </c>
      <c r="AX40">
        <v>47920742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Y40*Source!I85</f>
        <v>26.961749999999995</v>
      </c>
      <c r="CY40">
        <f>AD40</f>
        <v>270.5</v>
      </c>
      <c r="CZ40">
        <f>AH40</f>
        <v>9.35</v>
      </c>
      <c r="DA40">
        <f>AL40</f>
        <v>28.93</v>
      </c>
      <c r="DB40">
        <f>ROUND((ROUND(AT40*CZ40,2)*ROUND((1.2*1.15),7)),2)</f>
        <v>67.22</v>
      </c>
      <c r="DC40">
        <f>ROUND((ROUND(AT40*AG40,2)*ROUND((1.2*1.15),7)),2)</f>
        <v>0</v>
      </c>
    </row>
    <row r="41" spans="1:107">
      <c r="A41">
        <f>ROW(Source!A85)</f>
        <v>85</v>
      </c>
      <c r="B41">
        <v>47920234</v>
      </c>
      <c r="C41">
        <v>47920736</v>
      </c>
      <c r="D41">
        <v>121548</v>
      </c>
      <c r="E41">
        <v>1</v>
      </c>
      <c r="F41">
        <v>1</v>
      </c>
      <c r="G41">
        <v>1</v>
      </c>
      <c r="H41">
        <v>1</v>
      </c>
      <c r="I41" t="s">
        <v>26</v>
      </c>
      <c r="J41" t="s">
        <v>3</v>
      </c>
      <c r="K41" t="s">
        <v>461</v>
      </c>
      <c r="L41">
        <v>608254</v>
      </c>
      <c r="N41">
        <v>1013</v>
      </c>
      <c r="O41" t="s">
        <v>462</v>
      </c>
      <c r="P41" t="s">
        <v>462</v>
      </c>
      <c r="Q41">
        <v>1</v>
      </c>
      <c r="W41">
        <v>0</v>
      </c>
      <c r="X41">
        <v>-185737400</v>
      </c>
      <c r="Y41">
        <v>2.3874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28.93</v>
      </c>
      <c r="AL41">
        <v>1</v>
      </c>
      <c r="AN41">
        <v>0</v>
      </c>
      <c r="AO41">
        <v>1</v>
      </c>
      <c r="AP41">
        <v>1</v>
      </c>
      <c r="AQ41">
        <v>0</v>
      </c>
      <c r="AR41">
        <v>0</v>
      </c>
      <c r="AS41" t="s">
        <v>3</v>
      </c>
      <c r="AT41">
        <v>1.73</v>
      </c>
      <c r="AU41" t="s">
        <v>20</v>
      </c>
      <c r="AV41">
        <v>2</v>
      </c>
      <c r="AW41">
        <v>2</v>
      </c>
      <c r="AX41">
        <v>47920743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Y41*Source!I85</f>
        <v>8.95275</v>
      </c>
      <c r="CY41">
        <f>AD41</f>
        <v>0</v>
      </c>
      <c r="CZ41">
        <f>AH41</f>
        <v>0</v>
      </c>
      <c r="DA41">
        <f>AL41</f>
        <v>1</v>
      </c>
      <c r="DB41">
        <f>ROUND((ROUND(AT41*CZ41,2)*ROUND((1.2*1.15),7)),2)</f>
        <v>0</v>
      </c>
      <c r="DC41">
        <f>ROUND((ROUND(AT41*AG41,2)*ROUND((1.2*1.15),7)),2)</f>
        <v>0</v>
      </c>
    </row>
    <row r="42" spans="1:107">
      <c r="A42">
        <f>ROW(Source!A85)</f>
        <v>85</v>
      </c>
      <c r="B42">
        <v>47920234</v>
      </c>
      <c r="C42">
        <v>47920736</v>
      </c>
      <c r="D42">
        <v>13554551</v>
      </c>
      <c r="E42">
        <v>1</v>
      </c>
      <c r="F42">
        <v>1</v>
      </c>
      <c r="G42">
        <v>1</v>
      </c>
      <c r="H42">
        <v>2</v>
      </c>
      <c r="I42" t="s">
        <v>513</v>
      </c>
      <c r="J42" t="s">
        <v>514</v>
      </c>
      <c r="K42" t="s">
        <v>515</v>
      </c>
      <c r="L42">
        <v>1368</v>
      </c>
      <c r="N42">
        <v>1011</v>
      </c>
      <c r="O42" t="s">
        <v>468</v>
      </c>
      <c r="P42" t="s">
        <v>468</v>
      </c>
      <c r="Q42">
        <v>1</v>
      </c>
      <c r="W42">
        <v>0</v>
      </c>
      <c r="X42">
        <v>2102783</v>
      </c>
      <c r="Y42">
        <v>2.3874</v>
      </c>
      <c r="AA42">
        <v>0</v>
      </c>
      <c r="AB42">
        <v>1209.8800000000001</v>
      </c>
      <c r="AC42">
        <v>379.56</v>
      </c>
      <c r="AD42">
        <v>0</v>
      </c>
      <c r="AE42">
        <v>0</v>
      </c>
      <c r="AF42">
        <v>156.72</v>
      </c>
      <c r="AG42">
        <v>13.12</v>
      </c>
      <c r="AH42">
        <v>0</v>
      </c>
      <c r="AI42">
        <v>1</v>
      </c>
      <c r="AJ42">
        <v>7.72</v>
      </c>
      <c r="AK42">
        <v>28.93</v>
      </c>
      <c r="AL42">
        <v>1</v>
      </c>
      <c r="AN42">
        <v>0</v>
      </c>
      <c r="AO42">
        <v>1</v>
      </c>
      <c r="AP42">
        <v>1</v>
      </c>
      <c r="AQ42">
        <v>0</v>
      </c>
      <c r="AR42">
        <v>0</v>
      </c>
      <c r="AS42" t="s">
        <v>3</v>
      </c>
      <c r="AT42">
        <v>1.73</v>
      </c>
      <c r="AU42" t="s">
        <v>20</v>
      </c>
      <c r="AV42">
        <v>0</v>
      </c>
      <c r="AW42">
        <v>2</v>
      </c>
      <c r="AX42">
        <v>47920744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Y42*Source!I85</f>
        <v>8.95275</v>
      </c>
      <c r="CY42">
        <f>AB42</f>
        <v>1209.8800000000001</v>
      </c>
      <c r="CZ42">
        <f>AF42</f>
        <v>156.72</v>
      </c>
      <c r="DA42">
        <f>AJ42</f>
        <v>7.72</v>
      </c>
      <c r="DB42">
        <f>ROUND((ROUND(AT42*CZ42,2)*ROUND((1.2*1.15),7)),2)</f>
        <v>374.16</v>
      </c>
      <c r="DC42">
        <f>ROUND((ROUND(AT42*AG42,2)*ROUND((1.2*1.15),7)),2)</f>
        <v>31.33</v>
      </c>
    </row>
    <row r="43" spans="1:107">
      <c r="A43">
        <f>ROW(Source!A85)</f>
        <v>85</v>
      </c>
      <c r="B43">
        <v>47920234</v>
      </c>
      <c r="C43">
        <v>47920736</v>
      </c>
      <c r="D43">
        <v>13556983</v>
      </c>
      <c r="E43">
        <v>1</v>
      </c>
      <c r="F43">
        <v>1</v>
      </c>
      <c r="G43">
        <v>1</v>
      </c>
      <c r="H43">
        <v>2</v>
      </c>
      <c r="I43" t="s">
        <v>489</v>
      </c>
      <c r="J43" t="s">
        <v>490</v>
      </c>
      <c r="K43" t="s">
        <v>491</v>
      </c>
      <c r="L43">
        <v>1368</v>
      </c>
      <c r="N43">
        <v>1011</v>
      </c>
      <c r="O43" t="s">
        <v>468</v>
      </c>
      <c r="P43" t="s">
        <v>468</v>
      </c>
      <c r="Q43">
        <v>1</v>
      </c>
      <c r="W43">
        <v>0</v>
      </c>
      <c r="X43">
        <v>1849659131</v>
      </c>
      <c r="Y43">
        <v>2.3874</v>
      </c>
      <c r="AA43">
        <v>0</v>
      </c>
      <c r="AB43">
        <v>623.39</v>
      </c>
      <c r="AC43">
        <v>0</v>
      </c>
      <c r="AD43">
        <v>0</v>
      </c>
      <c r="AE43">
        <v>0</v>
      </c>
      <c r="AF43">
        <v>80.75</v>
      </c>
      <c r="AG43">
        <v>0</v>
      </c>
      <c r="AH43">
        <v>0</v>
      </c>
      <c r="AI43">
        <v>1</v>
      </c>
      <c r="AJ43">
        <v>7.72</v>
      </c>
      <c r="AK43">
        <v>28.93</v>
      </c>
      <c r="AL43">
        <v>1</v>
      </c>
      <c r="AN43">
        <v>0</v>
      </c>
      <c r="AO43">
        <v>1</v>
      </c>
      <c r="AP43">
        <v>1</v>
      </c>
      <c r="AQ43">
        <v>0</v>
      </c>
      <c r="AR43">
        <v>0</v>
      </c>
      <c r="AS43" t="s">
        <v>3</v>
      </c>
      <c r="AT43">
        <v>1.73</v>
      </c>
      <c r="AU43" t="s">
        <v>20</v>
      </c>
      <c r="AV43">
        <v>0</v>
      </c>
      <c r="AW43">
        <v>2</v>
      </c>
      <c r="AX43">
        <v>47920745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Y43*Source!I85</f>
        <v>8.95275</v>
      </c>
      <c r="CY43">
        <f>AB43</f>
        <v>623.39</v>
      </c>
      <c r="CZ43">
        <f>AF43</f>
        <v>80.75</v>
      </c>
      <c r="DA43">
        <f>AJ43</f>
        <v>7.72</v>
      </c>
      <c r="DB43">
        <f>ROUND((ROUND(AT43*CZ43,2)*ROUND((1.2*1.15),7)),2)</f>
        <v>192.79</v>
      </c>
      <c r="DC43">
        <f>ROUND((ROUND(AT43*AG43,2)*ROUND((1.2*1.15),7)),2)</f>
        <v>0</v>
      </c>
    </row>
    <row r="44" spans="1:107">
      <c r="A44">
        <f>ROW(Source!A85)</f>
        <v>85</v>
      </c>
      <c r="B44">
        <v>47920234</v>
      </c>
      <c r="C44">
        <v>47920736</v>
      </c>
      <c r="D44">
        <v>13758332</v>
      </c>
      <c r="E44">
        <v>1</v>
      </c>
      <c r="F44">
        <v>1</v>
      </c>
      <c r="G44">
        <v>1</v>
      </c>
      <c r="H44">
        <v>3</v>
      </c>
      <c r="I44" t="s">
        <v>509</v>
      </c>
      <c r="J44" t="s">
        <v>510</v>
      </c>
      <c r="K44" t="s">
        <v>511</v>
      </c>
      <c r="L44">
        <v>1374</v>
      </c>
      <c r="N44">
        <v>1013</v>
      </c>
      <c r="O44" t="s">
        <v>512</v>
      </c>
      <c r="P44" t="s">
        <v>512</v>
      </c>
      <c r="Q44">
        <v>1</v>
      </c>
      <c r="W44">
        <v>0</v>
      </c>
      <c r="X44">
        <v>1723657366</v>
      </c>
      <c r="Y44">
        <v>0.97</v>
      </c>
      <c r="AA44">
        <v>5.15</v>
      </c>
      <c r="AB44">
        <v>0</v>
      </c>
      <c r="AC44">
        <v>0</v>
      </c>
      <c r="AD44">
        <v>0</v>
      </c>
      <c r="AE44">
        <v>1</v>
      </c>
      <c r="AF44">
        <v>0</v>
      </c>
      <c r="AG44">
        <v>0</v>
      </c>
      <c r="AH44">
        <v>0</v>
      </c>
      <c r="AI44">
        <v>5.15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0.97</v>
      </c>
      <c r="AU44" t="s">
        <v>3</v>
      </c>
      <c r="AV44">
        <v>0</v>
      </c>
      <c r="AW44">
        <v>2</v>
      </c>
      <c r="AX44">
        <v>47920746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Y44*Source!I85</f>
        <v>3.6374999999999997</v>
      </c>
      <c r="CY44">
        <f>AA44</f>
        <v>5.15</v>
      </c>
      <c r="CZ44">
        <f>AE44</f>
        <v>1</v>
      </c>
      <c r="DA44">
        <f>AI44</f>
        <v>5.15</v>
      </c>
      <c r="DB44">
        <f>ROUND(ROUND(AT44*CZ44,2),2)</f>
        <v>0.97</v>
      </c>
      <c r="DC44">
        <f>ROUND(ROUND(AT44*AG44,2),2)</f>
        <v>0</v>
      </c>
    </row>
    <row r="45" spans="1:107">
      <c r="A45">
        <f>ROW(Source!A86)</f>
        <v>86</v>
      </c>
      <c r="B45">
        <v>47920234</v>
      </c>
      <c r="C45">
        <v>47920747</v>
      </c>
      <c r="D45">
        <v>9915120</v>
      </c>
      <c r="E45">
        <v>1</v>
      </c>
      <c r="F45">
        <v>1</v>
      </c>
      <c r="G45">
        <v>1</v>
      </c>
      <c r="H45">
        <v>1</v>
      </c>
      <c r="I45" t="s">
        <v>507</v>
      </c>
      <c r="J45" t="s">
        <v>3</v>
      </c>
      <c r="K45" t="s">
        <v>508</v>
      </c>
      <c r="L45">
        <v>1191</v>
      </c>
      <c r="N45">
        <v>1013</v>
      </c>
      <c r="O45" t="s">
        <v>460</v>
      </c>
      <c r="P45" t="s">
        <v>460</v>
      </c>
      <c r="Q45">
        <v>1</v>
      </c>
      <c r="W45">
        <v>0</v>
      </c>
      <c r="X45">
        <v>1028592258</v>
      </c>
      <c r="Y45">
        <v>3.7536</v>
      </c>
      <c r="AA45">
        <v>0</v>
      </c>
      <c r="AB45">
        <v>0</v>
      </c>
      <c r="AC45">
        <v>0</v>
      </c>
      <c r="AD45">
        <v>270.5</v>
      </c>
      <c r="AE45">
        <v>0</v>
      </c>
      <c r="AF45">
        <v>0</v>
      </c>
      <c r="AG45">
        <v>0</v>
      </c>
      <c r="AH45">
        <v>9.35</v>
      </c>
      <c r="AI45">
        <v>1</v>
      </c>
      <c r="AJ45">
        <v>1</v>
      </c>
      <c r="AK45">
        <v>1</v>
      </c>
      <c r="AL45">
        <v>28.93</v>
      </c>
      <c r="AN45">
        <v>0</v>
      </c>
      <c r="AO45">
        <v>1</v>
      </c>
      <c r="AP45">
        <v>1</v>
      </c>
      <c r="AQ45">
        <v>0</v>
      </c>
      <c r="AR45">
        <v>0</v>
      </c>
      <c r="AS45" t="s">
        <v>3</v>
      </c>
      <c r="AT45">
        <v>2.72</v>
      </c>
      <c r="AU45" t="s">
        <v>20</v>
      </c>
      <c r="AV45">
        <v>1</v>
      </c>
      <c r="AW45">
        <v>2</v>
      </c>
      <c r="AX45">
        <v>47920753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Y45*Source!I86</f>
        <v>14.076000000000001</v>
      </c>
      <c r="CY45">
        <f>AD45</f>
        <v>270.5</v>
      </c>
      <c r="CZ45">
        <f>AH45</f>
        <v>9.35</v>
      </c>
      <c r="DA45">
        <f>AL45</f>
        <v>28.93</v>
      </c>
      <c r="DB45">
        <f>ROUND((ROUND(AT45*CZ45,2)*ROUND((1.2*1.15),7)),2)</f>
        <v>35.090000000000003</v>
      </c>
      <c r="DC45">
        <f>ROUND((ROUND(AT45*AG45,2)*ROUND((1.2*1.15),7)),2)</f>
        <v>0</v>
      </c>
    </row>
    <row r="46" spans="1:107">
      <c r="A46">
        <f>ROW(Source!A86)</f>
        <v>86</v>
      </c>
      <c r="B46">
        <v>47920234</v>
      </c>
      <c r="C46">
        <v>47920747</v>
      </c>
      <c r="D46">
        <v>121548</v>
      </c>
      <c r="E46">
        <v>1</v>
      </c>
      <c r="F46">
        <v>1</v>
      </c>
      <c r="G46">
        <v>1</v>
      </c>
      <c r="H46">
        <v>1</v>
      </c>
      <c r="I46" t="s">
        <v>26</v>
      </c>
      <c r="J46" t="s">
        <v>3</v>
      </c>
      <c r="K46" t="s">
        <v>461</v>
      </c>
      <c r="L46">
        <v>608254</v>
      </c>
      <c r="N46">
        <v>1013</v>
      </c>
      <c r="O46" t="s">
        <v>462</v>
      </c>
      <c r="P46" t="s">
        <v>462</v>
      </c>
      <c r="Q46">
        <v>1</v>
      </c>
      <c r="W46">
        <v>0</v>
      </c>
      <c r="X46">
        <v>-185737400</v>
      </c>
      <c r="Y46">
        <v>1.2558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1</v>
      </c>
      <c r="AJ46">
        <v>1</v>
      </c>
      <c r="AK46">
        <v>28.93</v>
      </c>
      <c r="AL46">
        <v>1</v>
      </c>
      <c r="AN46">
        <v>0</v>
      </c>
      <c r="AO46">
        <v>1</v>
      </c>
      <c r="AP46">
        <v>1</v>
      </c>
      <c r="AQ46">
        <v>0</v>
      </c>
      <c r="AR46">
        <v>0</v>
      </c>
      <c r="AS46" t="s">
        <v>3</v>
      </c>
      <c r="AT46">
        <v>0.91</v>
      </c>
      <c r="AU46" t="s">
        <v>20</v>
      </c>
      <c r="AV46">
        <v>2</v>
      </c>
      <c r="AW46">
        <v>2</v>
      </c>
      <c r="AX46">
        <v>47920754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Y46*Source!I86</f>
        <v>4.7092499999999999</v>
      </c>
      <c r="CY46">
        <f>AD46</f>
        <v>0</v>
      </c>
      <c r="CZ46">
        <f>AH46</f>
        <v>0</v>
      </c>
      <c r="DA46">
        <f>AL46</f>
        <v>1</v>
      </c>
      <c r="DB46">
        <f>ROUND((ROUND(AT46*CZ46,2)*ROUND((1.2*1.15),7)),2)</f>
        <v>0</v>
      </c>
      <c r="DC46">
        <f>ROUND((ROUND(AT46*AG46,2)*ROUND((1.2*1.15),7)),2)</f>
        <v>0</v>
      </c>
    </row>
    <row r="47" spans="1:107">
      <c r="A47">
        <f>ROW(Source!A86)</f>
        <v>86</v>
      </c>
      <c r="B47">
        <v>47920234</v>
      </c>
      <c r="C47">
        <v>47920747</v>
      </c>
      <c r="D47">
        <v>13554551</v>
      </c>
      <c r="E47">
        <v>1</v>
      </c>
      <c r="F47">
        <v>1</v>
      </c>
      <c r="G47">
        <v>1</v>
      </c>
      <c r="H47">
        <v>2</v>
      </c>
      <c r="I47" t="s">
        <v>513</v>
      </c>
      <c r="J47" t="s">
        <v>514</v>
      </c>
      <c r="K47" t="s">
        <v>515</v>
      </c>
      <c r="L47">
        <v>1368</v>
      </c>
      <c r="N47">
        <v>1011</v>
      </c>
      <c r="O47" t="s">
        <v>468</v>
      </c>
      <c r="P47" t="s">
        <v>468</v>
      </c>
      <c r="Q47">
        <v>1</v>
      </c>
      <c r="W47">
        <v>0</v>
      </c>
      <c r="X47">
        <v>2102783</v>
      </c>
      <c r="Y47">
        <v>1.2558</v>
      </c>
      <c r="AA47">
        <v>0</v>
      </c>
      <c r="AB47">
        <v>1209.8800000000001</v>
      </c>
      <c r="AC47">
        <v>379.56</v>
      </c>
      <c r="AD47">
        <v>0</v>
      </c>
      <c r="AE47">
        <v>0</v>
      </c>
      <c r="AF47">
        <v>156.72</v>
      </c>
      <c r="AG47">
        <v>13.12</v>
      </c>
      <c r="AH47">
        <v>0</v>
      </c>
      <c r="AI47">
        <v>1</v>
      </c>
      <c r="AJ47">
        <v>7.72</v>
      </c>
      <c r="AK47">
        <v>28.93</v>
      </c>
      <c r="AL47">
        <v>1</v>
      </c>
      <c r="AN47">
        <v>0</v>
      </c>
      <c r="AO47">
        <v>1</v>
      </c>
      <c r="AP47">
        <v>1</v>
      </c>
      <c r="AQ47">
        <v>0</v>
      </c>
      <c r="AR47">
        <v>0</v>
      </c>
      <c r="AS47" t="s">
        <v>3</v>
      </c>
      <c r="AT47">
        <v>0.91</v>
      </c>
      <c r="AU47" t="s">
        <v>20</v>
      </c>
      <c r="AV47">
        <v>0</v>
      </c>
      <c r="AW47">
        <v>2</v>
      </c>
      <c r="AX47">
        <v>47920755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Y47*Source!I86</f>
        <v>4.7092499999999999</v>
      </c>
      <c r="CY47">
        <f>AB47</f>
        <v>1209.8800000000001</v>
      </c>
      <c r="CZ47">
        <f>AF47</f>
        <v>156.72</v>
      </c>
      <c r="DA47">
        <f>AJ47</f>
        <v>7.72</v>
      </c>
      <c r="DB47">
        <f>ROUND((ROUND(AT47*CZ47,2)*ROUND((1.2*1.15),7)),2)</f>
        <v>196.82</v>
      </c>
      <c r="DC47">
        <f>ROUND((ROUND(AT47*AG47,2)*ROUND((1.2*1.15),7)),2)</f>
        <v>16.48</v>
      </c>
    </row>
    <row r="48" spans="1:107">
      <c r="A48">
        <f>ROW(Source!A86)</f>
        <v>86</v>
      </c>
      <c r="B48">
        <v>47920234</v>
      </c>
      <c r="C48">
        <v>47920747</v>
      </c>
      <c r="D48">
        <v>13556983</v>
      </c>
      <c r="E48">
        <v>1</v>
      </c>
      <c r="F48">
        <v>1</v>
      </c>
      <c r="G48">
        <v>1</v>
      </c>
      <c r="H48">
        <v>2</v>
      </c>
      <c r="I48" t="s">
        <v>489</v>
      </c>
      <c r="J48" t="s">
        <v>490</v>
      </c>
      <c r="K48" t="s">
        <v>491</v>
      </c>
      <c r="L48">
        <v>1368</v>
      </c>
      <c r="N48">
        <v>1011</v>
      </c>
      <c r="O48" t="s">
        <v>468</v>
      </c>
      <c r="P48" t="s">
        <v>468</v>
      </c>
      <c r="Q48">
        <v>1</v>
      </c>
      <c r="W48">
        <v>0</v>
      </c>
      <c r="X48">
        <v>1849659131</v>
      </c>
      <c r="Y48">
        <v>1.2558</v>
      </c>
      <c r="AA48">
        <v>0</v>
      </c>
      <c r="AB48">
        <v>623.39</v>
      </c>
      <c r="AC48">
        <v>0</v>
      </c>
      <c r="AD48">
        <v>0</v>
      </c>
      <c r="AE48">
        <v>0</v>
      </c>
      <c r="AF48">
        <v>80.75</v>
      </c>
      <c r="AG48">
        <v>0</v>
      </c>
      <c r="AH48">
        <v>0</v>
      </c>
      <c r="AI48">
        <v>1</v>
      </c>
      <c r="AJ48">
        <v>7.72</v>
      </c>
      <c r="AK48">
        <v>28.93</v>
      </c>
      <c r="AL48">
        <v>1</v>
      </c>
      <c r="AN48">
        <v>0</v>
      </c>
      <c r="AO48">
        <v>1</v>
      </c>
      <c r="AP48">
        <v>1</v>
      </c>
      <c r="AQ48">
        <v>0</v>
      </c>
      <c r="AR48">
        <v>0</v>
      </c>
      <c r="AS48" t="s">
        <v>3</v>
      </c>
      <c r="AT48">
        <v>0.91</v>
      </c>
      <c r="AU48" t="s">
        <v>20</v>
      </c>
      <c r="AV48">
        <v>0</v>
      </c>
      <c r="AW48">
        <v>2</v>
      </c>
      <c r="AX48">
        <v>47920756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Y48*Source!I86</f>
        <v>4.7092499999999999</v>
      </c>
      <c r="CY48">
        <f>AB48</f>
        <v>623.39</v>
      </c>
      <c r="CZ48">
        <f>AF48</f>
        <v>80.75</v>
      </c>
      <c r="DA48">
        <f>AJ48</f>
        <v>7.72</v>
      </c>
      <c r="DB48">
        <f>ROUND((ROUND(AT48*CZ48,2)*ROUND((1.2*1.15),7)),2)</f>
        <v>101.4</v>
      </c>
      <c r="DC48">
        <f>ROUND((ROUND(AT48*AG48,2)*ROUND((1.2*1.15),7)),2)</f>
        <v>0</v>
      </c>
    </row>
    <row r="49" spans="1:107">
      <c r="A49">
        <f>ROW(Source!A86)</f>
        <v>86</v>
      </c>
      <c r="B49">
        <v>47920234</v>
      </c>
      <c r="C49">
        <v>47920747</v>
      </c>
      <c r="D49">
        <v>13758332</v>
      </c>
      <c r="E49">
        <v>1</v>
      </c>
      <c r="F49">
        <v>1</v>
      </c>
      <c r="G49">
        <v>1</v>
      </c>
      <c r="H49">
        <v>3</v>
      </c>
      <c r="I49" t="s">
        <v>509</v>
      </c>
      <c r="J49" t="s">
        <v>510</v>
      </c>
      <c r="K49" t="s">
        <v>511</v>
      </c>
      <c r="L49">
        <v>1374</v>
      </c>
      <c r="N49">
        <v>1013</v>
      </c>
      <c r="O49" t="s">
        <v>512</v>
      </c>
      <c r="P49" t="s">
        <v>512</v>
      </c>
      <c r="Q49">
        <v>1</v>
      </c>
      <c r="W49">
        <v>0</v>
      </c>
      <c r="X49">
        <v>1723657366</v>
      </c>
      <c r="Y49">
        <v>0.51</v>
      </c>
      <c r="AA49">
        <v>5.15</v>
      </c>
      <c r="AB49">
        <v>0</v>
      </c>
      <c r="AC49">
        <v>0</v>
      </c>
      <c r="AD49">
        <v>0</v>
      </c>
      <c r="AE49">
        <v>1</v>
      </c>
      <c r="AF49">
        <v>0</v>
      </c>
      <c r="AG49">
        <v>0</v>
      </c>
      <c r="AH49">
        <v>0</v>
      </c>
      <c r="AI49">
        <v>5.15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0.51</v>
      </c>
      <c r="AU49" t="s">
        <v>3</v>
      </c>
      <c r="AV49">
        <v>0</v>
      </c>
      <c r="AW49">
        <v>2</v>
      </c>
      <c r="AX49">
        <v>47920757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Y49*Source!I86</f>
        <v>1.9125000000000001</v>
      </c>
      <c r="CY49">
        <f>AA49</f>
        <v>5.15</v>
      </c>
      <c r="CZ49">
        <f>AE49</f>
        <v>1</v>
      </c>
      <c r="DA49">
        <f>AI49</f>
        <v>5.15</v>
      </c>
      <c r="DB49">
        <f>ROUND(ROUND(AT49*CZ49,2),2)</f>
        <v>0.51</v>
      </c>
      <c r="DC49">
        <f>ROUND(ROUND(AT49*AG49,2),2)</f>
        <v>0</v>
      </c>
    </row>
    <row r="50" spans="1:107">
      <c r="A50">
        <f>ROW(Source!A87)</f>
        <v>87</v>
      </c>
      <c r="B50">
        <v>47920234</v>
      </c>
      <c r="C50">
        <v>47920758</v>
      </c>
      <c r="D50">
        <v>9915120</v>
      </c>
      <c r="E50">
        <v>1</v>
      </c>
      <c r="F50">
        <v>1</v>
      </c>
      <c r="G50">
        <v>1</v>
      </c>
      <c r="H50">
        <v>1</v>
      </c>
      <c r="I50" t="s">
        <v>507</v>
      </c>
      <c r="J50" t="s">
        <v>3</v>
      </c>
      <c r="K50" t="s">
        <v>508</v>
      </c>
      <c r="L50">
        <v>1191</v>
      </c>
      <c r="N50">
        <v>1013</v>
      </c>
      <c r="O50" t="s">
        <v>460</v>
      </c>
      <c r="P50" t="s">
        <v>460</v>
      </c>
      <c r="Q50">
        <v>1</v>
      </c>
      <c r="W50">
        <v>0</v>
      </c>
      <c r="X50">
        <v>1028592258</v>
      </c>
      <c r="Y50">
        <v>24.0672</v>
      </c>
      <c r="AA50">
        <v>0</v>
      </c>
      <c r="AB50">
        <v>0</v>
      </c>
      <c r="AC50">
        <v>0</v>
      </c>
      <c r="AD50">
        <v>270.5</v>
      </c>
      <c r="AE50">
        <v>0</v>
      </c>
      <c r="AF50">
        <v>0</v>
      </c>
      <c r="AG50">
        <v>0</v>
      </c>
      <c r="AH50">
        <v>9.35</v>
      </c>
      <c r="AI50">
        <v>1</v>
      </c>
      <c r="AJ50">
        <v>1</v>
      </c>
      <c r="AK50">
        <v>1</v>
      </c>
      <c r="AL50">
        <v>28.93</v>
      </c>
      <c r="AN50">
        <v>0</v>
      </c>
      <c r="AO50">
        <v>1</v>
      </c>
      <c r="AP50">
        <v>1</v>
      </c>
      <c r="AQ50">
        <v>0</v>
      </c>
      <c r="AR50">
        <v>0</v>
      </c>
      <c r="AS50" t="s">
        <v>3</v>
      </c>
      <c r="AT50">
        <v>17.440000000000001</v>
      </c>
      <c r="AU50" t="s">
        <v>66</v>
      </c>
      <c r="AV50">
        <v>1</v>
      </c>
      <c r="AW50">
        <v>2</v>
      </c>
      <c r="AX50">
        <v>47920771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Y50*Source!I87</f>
        <v>194.94431999999998</v>
      </c>
      <c r="CY50">
        <f>AD50</f>
        <v>270.5</v>
      </c>
      <c r="CZ50">
        <f>AH50</f>
        <v>9.35</v>
      </c>
      <c r="DA50">
        <f>AL50</f>
        <v>28.93</v>
      </c>
      <c r="DB50">
        <f t="shared" ref="DB50:DB55" si="7">ROUND((ROUND(AT50*CZ50,2)*ROUND((1.15*1.2),7)),2)</f>
        <v>225.02</v>
      </c>
      <c r="DC50">
        <f t="shared" ref="DC50:DC55" si="8">ROUND((ROUND(AT50*AG50,2)*ROUND((1.15*1.2),7)),2)</f>
        <v>0</v>
      </c>
    </row>
    <row r="51" spans="1:107">
      <c r="A51">
        <f>ROW(Source!A87)</f>
        <v>87</v>
      </c>
      <c r="B51">
        <v>47920234</v>
      </c>
      <c r="C51">
        <v>47920758</v>
      </c>
      <c r="D51">
        <v>121548</v>
      </c>
      <c r="E51">
        <v>1</v>
      </c>
      <c r="F51">
        <v>1</v>
      </c>
      <c r="G51">
        <v>1</v>
      </c>
      <c r="H51">
        <v>1</v>
      </c>
      <c r="I51" t="s">
        <v>26</v>
      </c>
      <c r="J51" t="s">
        <v>3</v>
      </c>
      <c r="K51" t="s">
        <v>461</v>
      </c>
      <c r="L51">
        <v>608254</v>
      </c>
      <c r="N51">
        <v>1013</v>
      </c>
      <c r="O51" t="s">
        <v>462</v>
      </c>
      <c r="P51" t="s">
        <v>462</v>
      </c>
      <c r="Q51">
        <v>1</v>
      </c>
      <c r="W51">
        <v>0</v>
      </c>
      <c r="X51">
        <v>-185737400</v>
      </c>
      <c r="Y51">
        <v>1.8215999999999999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28.93</v>
      </c>
      <c r="AL51">
        <v>1</v>
      </c>
      <c r="AN51">
        <v>0</v>
      </c>
      <c r="AO51">
        <v>1</v>
      </c>
      <c r="AP51">
        <v>1</v>
      </c>
      <c r="AQ51">
        <v>0</v>
      </c>
      <c r="AR51">
        <v>0</v>
      </c>
      <c r="AS51" t="s">
        <v>3</v>
      </c>
      <c r="AT51">
        <v>1.32</v>
      </c>
      <c r="AU51" t="s">
        <v>66</v>
      </c>
      <c r="AV51">
        <v>2</v>
      </c>
      <c r="AW51">
        <v>2</v>
      </c>
      <c r="AX51">
        <v>47920772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Y51*Source!I87</f>
        <v>14.754959999999999</v>
      </c>
      <c r="CY51">
        <f>AD51</f>
        <v>0</v>
      </c>
      <c r="CZ51">
        <f>AH51</f>
        <v>0</v>
      </c>
      <c r="DA51">
        <f>AL51</f>
        <v>1</v>
      </c>
      <c r="DB51">
        <f t="shared" si="7"/>
        <v>0</v>
      </c>
      <c r="DC51">
        <f t="shared" si="8"/>
        <v>0</v>
      </c>
    </row>
    <row r="52" spans="1:107">
      <c r="A52">
        <f>ROW(Source!A87)</f>
        <v>87</v>
      </c>
      <c r="B52">
        <v>47920234</v>
      </c>
      <c r="C52">
        <v>47920758</v>
      </c>
      <c r="D52">
        <v>13554551</v>
      </c>
      <c r="E52">
        <v>1</v>
      </c>
      <c r="F52">
        <v>1</v>
      </c>
      <c r="G52">
        <v>1</v>
      </c>
      <c r="H52">
        <v>2</v>
      </c>
      <c r="I52" t="s">
        <v>513</v>
      </c>
      <c r="J52" t="s">
        <v>514</v>
      </c>
      <c r="K52" t="s">
        <v>515</v>
      </c>
      <c r="L52">
        <v>1368</v>
      </c>
      <c r="N52">
        <v>1011</v>
      </c>
      <c r="O52" t="s">
        <v>468</v>
      </c>
      <c r="P52" t="s">
        <v>468</v>
      </c>
      <c r="Q52">
        <v>1</v>
      </c>
      <c r="W52">
        <v>0</v>
      </c>
      <c r="X52">
        <v>2102783</v>
      </c>
      <c r="Y52">
        <v>1.8215999999999999</v>
      </c>
      <c r="AA52">
        <v>0</v>
      </c>
      <c r="AB52">
        <v>1209.8800000000001</v>
      </c>
      <c r="AC52">
        <v>379.56</v>
      </c>
      <c r="AD52">
        <v>0</v>
      </c>
      <c r="AE52">
        <v>0</v>
      </c>
      <c r="AF52">
        <v>156.72</v>
      </c>
      <c r="AG52">
        <v>13.12</v>
      </c>
      <c r="AH52">
        <v>0</v>
      </c>
      <c r="AI52">
        <v>1</v>
      </c>
      <c r="AJ52">
        <v>7.72</v>
      </c>
      <c r="AK52">
        <v>28.93</v>
      </c>
      <c r="AL52">
        <v>1</v>
      </c>
      <c r="AN52">
        <v>0</v>
      </c>
      <c r="AO52">
        <v>1</v>
      </c>
      <c r="AP52">
        <v>1</v>
      </c>
      <c r="AQ52">
        <v>0</v>
      </c>
      <c r="AR52">
        <v>0</v>
      </c>
      <c r="AS52" t="s">
        <v>3</v>
      </c>
      <c r="AT52">
        <v>1.32</v>
      </c>
      <c r="AU52" t="s">
        <v>66</v>
      </c>
      <c r="AV52">
        <v>0</v>
      </c>
      <c r="AW52">
        <v>2</v>
      </c>
      <c r="AX52">
        <v>47920773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Y52*Source!I87</f>
        <v>14.754959999999999</v>
      </c>
      <c r="CY52">
        <f>AB52</f>
        <v>1209.8800000000001</v>
      </c>
      <c r="CZ52">
        <f>AF52</f>
        <v>156.72</v>
      </c>
      <c r="DA52">
        <f>AJ52</f>
        <v>7.72</v>
      </c>
      <c r="DB52">
        <f t="shared" si="7"/>
        <v>285.48</v>
      </c>
      <c r="DC52">
        <f t="shared" si="8"/>
        <v>23.9</v>
      </c>
    </row>
    <row r="53" spans="1:107">
      <c r="A53">
        <f>ROW(Source!A87)</f>
        <v>87</v>
      </c>
      <c r="B53">
        <v>47920234</v>
      </c>
      <c r="C53">
        <v>47920758</v>
      </c>
      <c r="D53">
        <v>13554657</v>
      </c>
      <c r="E53">
        <v>1</v>
      </c>
      <c r="F53">
        <v>1</v>
      </c>
      <c r="G53">
        <v>1</v>
      </c>
      <c r="H53">
        <v>2</v>
      </c>
      <c r="I53" t="s">
        <v>516</v>
      </c>
      <c r="J53" t="s">
        <v>517</v>
      </c>
      <c r="K53" t="s">
        <v>518</v>
      </c>
      <c r="L53">
        <v>1368</v>
      </c>
      <c r="N53">
        <v>1011</v>
      </c>
      <c r="O53" t="s">
        <v>468</v>
      </c>
      <c r="P53" t="s">
        <v>468</v>
      </c>
      <c r="Q53">
        <v>1</v>
      </c>
      <c r="W53">
        <v>0</v>
      </c>
      <c r="X53">
        <v>-1862098278</v>
      </c>
      <c r="Y53">
        <v>5.4786000000000001</v>
      </c>
      <c r="AA53">
        <v>0</v>
      </c>
      <c r="AB53">
        <v>20.84</v>
      </c>
      <c r="AC53">
        <v>0</v>
      </c>
      <c r="AD53">
        <v>0</v>
      </c>
      <c r="AE53">
        <v>0</v>
      </c>
      <c r="AF53">
        <v>2.7</v>
      </c>
      <c r="AG53">
        <v>0</v>
      </c>
      <c r="AH53">
        <v>0</v>
      </c>
      <c r="AI53">
        <v>1</v>
      </c>
      <c r="AJ53">
        <v>7.72</v>
      </c>
      <c r="AK53">
        <v>28.93</v>
      </c>
      <c r="AL53">
        <v>1</v>
      </c>
      <c r="AN53">
        <v>0</v>
      </c>
      <c r="AO53">
        <v>1</v>
      </c>
      <c r="AP53">
        <v>1</v>
      </c>
      <c r="AQ53">
        <v>0</v>
      </c>
      <c r="AR53">
        <v>0</v>
      </c>
      <c r="AS53" t="s">
        <v>3</v>
      </c>
      <c r="AT53">
        <v>3.97</v>
      </c>
      <c r="AU53" t="s">
        <v>66</v>
      </c>
      <c r="AV53">
        <v>0</v>
      </c>
      <c r="AW53">
        <v>2</v>
      </c>
      <c r="AX53">
        <v>47920774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Y53*Source!I87</f>
        <v>44.376660000000001</v>
      </c>
      <c r="CY53">
        <f>AB53</f>
        <v>20.84</v>
      </c>
      <c r="CZ53">
        <f>AF53</f>
        <v>2.7</v>
      </c>
      <c r="DA53">
        <f>AJ53</f>
        <v>7.72</v>
      </c>
      <c r="DB53">
        <f t="shared" si="7"/>
        <v>14.79</v>
      </c>
      <c r="DC53">
        <f t="shared" si="8"/>
        <v>0</v>
      </c>
    </row>
    <row r="54" spans="1:107">
      <c r="A54">
        <f>ROW(Source!A87)</f>
        <v>87</v>
      </c>
      <c r="B54">
        <v>47920234</v>
      </c>
      <c r="C54">
        <v>47920758</v>
      </c>
      <c r="D54">
        <v>13554676</v>
      </c>
      <c r="E54">
        <v>1</v>
      </c>
      <c r="F54">
        <v>1</v>
      </c>
      <c r="G54">
        <v>1</v>
      </c>
      <c r="H54">
        <v>2</v>
      </c>
      <c r="I54" t="s">
        <v>519</v>
      </c>
      <c r="J54" t="s">
        <v>520</v>
      </c>
      <c r="K54" t="s">
        <v>521</v>
      </c>
      <c r="L54">
        <v>1368</v>
      </c>
      <c r="N54">
        <v>1011</v>
      </c>
      <c r="O54" t="s">
        <v>468</v>
      </c>
      <c r="P54" t="s">
        <v>468</v>
      </c>
      <c r="Q54">
        <v>1</v>
      </c>
      <c r="W54">
        <v>0</v>
      </c>
      <c r="X54">
        <v>1315153015</v>
      </c>
      <c r="Y54">
        <v>5.4786000000000001</v>
      </c>
      <c r="AA54">
        <v>0</v>
      </c>
      <c r="AB54">
        <v>89.86</v>
      </c>
      <c r="AC54">
        <v>0</v>
      </c>
      <c r="AD54">
        <v>0</v>
      </c>
      <c r="AE54">
        <v>0</v>
      </c>
      <c r="AF54">
        <v>11.64</v>
      </c>
      <c r="AG54">
        <v>0</v>
      </c>
      <c r="AH54">
        <v>0</v>
      </c>
      <c r="AI54">
        <v>1</v>
      </c>
      <c r="AJ54">
        <v>7.72</v>
      </c>
      <c r="AK54">
        <v>28.93</v>
      </c>
      <c r="AL54">
        <v>1</v>
      </c>
      <c r="AN54">
        <v>0</v>
      </c>
      <c r="AO54">
        <v>1</v>
      </c>
      <c r="AP54">
        <v>1</v>
      </c>
      <c r="AQ54">
        <v>0</v>
      </c>
      <c r="AR54">
        <v>0</v>
      </c>
      <c r="AS54" t="s">
        <v>3</v>
      </c>
      <c r="AT54">
        <v>3.97</v>
      </c>
      <c r="AU54" t="s">
        <v>66</v>
      </c>
      <c r="AV54">
        <v>0</v>
      </c>
      <c r="AW54">
        <v>2</v>
      </c>
      <c r="AX54">
        <v>47920775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Y54*Source!I87</f>
        <v>44.376660000000001</v>
      </c>
      <c r="CY54">
        <f>AB54</f>
        <v>89.86</v>
      </c>
      <c r="CZ54">
        <f>AF54</f>
        <v>11.64</v>
      </c>
      <c r="DA54">
        <f>AJ54</f>
        <v>7.72</v>
      </c>
      <c r="DB54">
        <f t="shared" si="7"/>
        <v>63.77</v>
      </c>
      <c r="DC54">
        <f t="shared" si="8"/>
        <v>0</v>
      </c>
    </row>
    <row r="55" spans="1:107">
      <c r="A55">
        <f>ROW(Source!A87)</f>
        <v>87</v>
      </c>
      <c r="B55">
        <v>47920234</v>
      </c>
      <c r="C55">
        <v>47920758</v>
      </c>
      <c r="D55">
        <v>13556983</v>
      </c>
      <c r="E55">
        <v>1</v>
      </c>
      <c r="F55">
        <v>1</v>
      </c>
      <c r="G55">
        <v>1</v>
      </c>
      <c r="H55">
        <v>2</v>
      </c>
      <c r="I55" t="s">
        <v>489</v>
      </c>
      <c r="J55" t="s">
        <v>490</v>
      </c>
      <c r="K55" t="s">
        <v>491</v>
      </c>
      <c r="L55">
        <v>1368</v>
      </c>
      <c r="N55">
        <v>1011</v>
      </c>
      <c r="O55" t="s">
        <v>468</v>
      </c>
      <c r="P55" t="s">
        <v>468</v>
      </c>
      <c r="Q55">
        <v>1</v>
      </c>
      <c r="W55">
        <v>0</v>
      </c>
      <c r="X55">
        <v>1849659131</v>
      </c>
      <c r="Y55">
        <v>1.8215999999999999</v>
      </c>
      <c r="AA55">
        <v>0</v>
      </c>
      <c r="AB55">
        <v>623.39</v>
      </c>
      <c r="AC55">
        <v>0</v>
      </c>
      <c r="AD55">
        <v>0</v>
      </c>
      <c r="AE55">
        <v>0</v>
      </c>
      <c r="AF55">
        <v>80.75</v>
      </c>
      <c r="AG55">
        <v>0</v>
      </c>
      <c r="AH55">
        <v>0</v>
      </c>
      <c r="AI55">
        <v>1</v>
      </c>
      <c r="AJ55">
        <v>7.72</v>
      </c>
      <c r="AK55">
        <v>28.93</v>
      </c>
      <c r="AL55">
        <v>1</v>
      </c>
      <c r="AN55">
        <v>0</v>
      </c>
      <c r="AO55">
        <v>1</v>
      </c>
      <c r="AP55">
        <v>1</v>
      </c>
      <c r="AQ55">
        <v>0</v>
      </c>
      <c r="AR55">
        <v>0</v>
      </c>
      <c r="AS55" t="s">
        <v>3</v>
      </c>
      <c r="AT55">
        <v>1.32</v>
      </c>
      <c r="AU55" t="s">
        <v>66</v>
      </c>
      <c r="AV55">
        <v>0</v>
      </c>
      <c r="AW55">
        <v>2</v>
      </c>
      <c r="AX55">
        <v>47920776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Y55*Source!I87</f>
        <v>14.754959999999999</v>
      </c>
      <c r="CY55">
        <f>AB55</f>
        <v>623.39</v>
      </c>
      <c r="CZ55">
        <f>AF55</f>
        <v>80.75</v>
      </c>
      <c r="DA55">
        <f>AJ55</f>
        <v>7.72</v>
      </c>
      <c r="DB55">
        <f t="shared" si="7"/>
        <v>147.09</v>
      </c>
      <c r="DC55">
        <f t="shared" si="8"/>
        <v>0</v>
      </c>
    </row>
    <row r="56" spans="1:107">
      <c r="A56">
        <f>ROW(Source!A87)</f>
        <v>87</v>
      </c>
      <c r="B56">
        <v>47920234</v>
      </c>
      <c r="C56">
        <v>47920758</v>
      </c>
      <c r="D56">
        <v>13560077</v>
      </c>
      <c r="E56">
        <v>1</v>
      </c>
      <c r="F56">
        <v>1</v>
      </c>
      <c r="G56">
        <v>1</v>
      </c>
      <c r="H56">
        <v>3</v>
      </c>
      <c r="I56" t="s">
        <v>522</v>
      </c>
      <c r="J56" t="s">
        <v>523</v>
      </c>
      <c r="K56" t="s">
        <v>524</v>
      </c>
      <c r="L56">
        <v>1348</v>
      </c>
      <c r="N56">
        <v>1009</v>
      </c>
      <c r="O56" t="s">
        <v>337</v>
      </c>
      <c r="P56" t="s">
        <v>337</v>
      </c>
      <c r="Q56">
        <v>1000</v>
      </c>
      <c r="W56">
        <v>0</v>
      </c>
      <c r="X56">
        <v>-1832570285</v>
      </c>
      <c r="Y56">
        <v>0.01</v>
      </c>
      <c r="AA56">
        <v>40833.839999999997</v>
      </c>
      <c r="AB56">
        <v>0</v>
      </c>
      <c r="AC56">
        <v>0</v>
      </c>
      <c r="AD56">
        <v>0</v>
      </c>
      <c r="AE56">
        <v>7928.9</v>
      </c>
      <c r="AF56">
        <v>0</v>
      </c>
      <c r="AG56">
        <v>0</v>
      </c>
      <c r="AH56">
        <v>0</v>
      </c>
      <c r="AI56">
        <v>5.15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0.01</v>
      </c>
      <c r="AU56" t="s">
        <v>3</v>
      </c>
      <c r="AV56">
        <v>0</v>
      </c>
      <c r="AW56">
        <v>2</v>
      </c>
      <c r="AX56">
        <v>47920777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Y56*Source!I87</f>
        <v>8.1000000000000003E-2</v>
      </c>
      <c r="CY56">
        <f t="shared" ref="CY56:CY61" si="9">AA56</f>
        <v>40833.839999999997</v>
      </c>
      <c r="CZ56">
        <f t="shared" ref="CZ56:CZ61" si="10">AE56</f>
        <v>7928.9</v>
      </c>
      <c r="DA56">
        <f t="shared" ref="DA56:DA61" si="11">AI56</f>
        <v>5.15</v>
      </c>
      <c r="DB56">
        <f t="shared" ref="DB56:DB61" si="12">ROUND(ROUND(AT56*CZ56,2),2)</f>
        <v>79.290000000000006</v>
      </c>
      <c r="DC56">
        <f t="shared" ref="DC56:DC61" si="13">ROUND(ROUND(AT56*AG56,2),2)</f>
        <v>0</v>
      </c>
    </row>
    <row r="57" spans="1:107">
      <c r="A57">
        <f>ROW(Source!A87)</f>
        <v>87</v>
      </c>
      <c r="B57">
        <v>47920234</v>
      </c>
      <c r="C57">
        <v>47920758</v>
      </c>
      <c r="D57">
        <v>13560215</v>
      </c>
      <c r="E57">
        <v>1</v>
      </c>
      <c r="F57">
        <v>1</v>
      </c>
      <c r="G57">
        <v>1</v>
      </c>
      <c r="H57">
        <v>3</v>
      </c>
      <c r="I57" t="s">
        <v>525</v>
      </c>
      <c r="J57" t="s">
        <v>526</v>
      </c>
      <c r="K57" t="s">
        <v>527</v>
      </c>
      <c r="L57">
        <v>1348</v>
      </c>
      <c r="N57">
        <v>1009</v>
      </c>
      <c r="O57" t="s">
        <v>337</v>
      </c>
      <c r="P57" t="s">
        <v>337</v>
      </c>
      <c r="Q57">
        <v>1000</v>
      </c>
      <c r="W57">
        <v>0</v>
      </c>
      <c r="X57">
        <v>102782903</v>
      </c>
      <c r="Y57">
        <v>1E-3</v>
      </c>
      <c r="AA57">
        <v>32826.15</v>
      </c>
      <c r="AB57">
        <v>0</v>
      </c>
      <c r="AC57">
        <v>0</v>
      </c>
      <c r="AD57">
        <v>0</v>
      </c>
      <c r="AE57">
        <v>6374.01</v>
      </c>
      <c r="AF57">
        <v>0</v>
      </c>
      <c r="AG57">
        <v>0</v>
      </c>
      <c r="AH57">
        <v>0</v>
      </c>
      <c r="AI57">
        <v>5.15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1E-3</v>
      </c>
      <c r="AU57" t="s">
        <v>3</v>
      </c>
      <c r="AV57">
        <v>0</v>
      </c>
      <c r="AW57">
        <v>2</v>
      </c>
      <c r="AX57">
        <v>47920778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Y57*Source!I87</f>
        <v>8.0999999999999996E-3</v>
      </c>
      <c r="CY57">
        <f t="shared" si="9"/>
        <v>32826.15</v>
      </c>
      <c r="CZ57">
        <f t="shared" si="10"/>
        <v>6374.01</v>
      </c>
      <c r="DA57">
        <f t="shared" si="11"/>
        <v>5.15</v>
      </c>
      <c r="DB57">
        <f t="shared" si="12"/>
        <v>6.37</v>
      </c>
      <c r="DC57">
        <f t="shared" si="13"/>
        <v>0</v>
      </c>
    </row>
    <row r="58" spans="1:107">
      <c r="A58">
        <f>ROW(Source!A87)</f>
        <v>87</v>
      </c>
      <c r="B58">
        <v>47920234</v>
      </c>
      <c r="C58">
        <v>47920758</v>
      </c>
      <c r="D58">
        <v>13560628</v>
      </c>
      <c r="E58">
        <v>1</v>
      </c>
      <c r="F58">
        <v>1</v>
      </c>
      <c r="G58">
        <v>1</v>
      </c>
      <c r="H58">
        <v>3</v>
      </c>
      <c r="I58" t="s">
        <v>528</v>
      </c>
      <c r="J58" t="s">
        <v>529</v>
      </c>
      <c r="K58" t="s">
        <v>530</v>
      </c>
      <c r="L58">
        <v>1346</v>
      </c>
      <c r="N58">
        <v>1009</v>
      </c>
      <c r="O58" t="s">
        <v>219</v>
      </c>
      <c r="P58" t="s">
        <v>219</v>
      </c>
      <c r="Q58">
        <v>1</v>
      </c>
      <c r="W58">
        <v>0</v>
      </c>
      <c r="X58">
        <v>2089894703</v>
      </c>
      <c r="Y58">
        <v>0.25</v>
      </c>
      <c r="AA58">
        <v>148.78</v>
      </c>
      <c r="AB58">
        <v>0</v>
      </c>
      <c r="AC58">
        <v>0</v>
      </c>
      <c r="AD58">
        <v>0</v>
      </c>
      <c r="AE58">
        <v>28.89</v>
      </c>
      <c r="AF58">
        <v>0</v>
      </c>
      <c r="AG58">
        <v>0</v>
      </c>
      <c r="AH58">
        <v>0</v>
      </c>
      <c r="AI58">
        <v>5.15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0.25</v>
      </c>
      <c r="AU58" t="s">
        <v>3</v>
      </c>
      <c r="AV58">
        <v>0</v>
      </c>
      <c r="AW58">
        <v>2</v>
      </c>
      <c r="AX58">
        <v>47920779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Y58*Source!I87</f>
        <v>2.0249999999999999</v>
      </c>
      <c r="CY58">
        <f t="shared" si="9"/>
        <v>148.78</v>
      </c>
      <c r="CZ58">
        <f t="shared" si="10"/>
        <v>28.89</v>
      </c>
      <c r="DA58">
        <f t="shared" si="11"/>
        <v>5.15</v>
      </c>
      <c r="DB58">
        <f t="shared" si="12"/>
        <v>7.22</v>
      </c>
      <c r="DC58">
        <f t="shared" si="13"/>
        <v>0</v>
      </c>
    </row>
    <row r="59" spans="1:107">
      <c r="A59">
        <f>ROW(Source!A87)</f>
        <v>87</v>
      </c>
      <c r="B59">
        <v>47920234</v>
      </c>
      <c r="C59">
        <v>47920758</v>
      </c>
      <c r="D59">
        <v>13561081</v>
      </c>
      <c r="E59">
        <v>1</v>
      </c>
      <c r="F59">
        <v>1</v>
      </c>
      <c r="G59">
        <v>1</v>
      </c>
      <c r="H59">
        <v>3</v>
      </c>
      <c r="I59" t="s">
        <v>531</v>
      </c>
      <c r="J59" t="s">
        <v>532</v>
      </c>
      <c r="K59" t="s">
        <v>533</v>
      </c>
      <c r="L59">
        <v>1308</v>
      </c>
      <c r="N59">
        <v>1003</v>
      </c>
      <c r="O59" t="s">
        <v>534</v>
      </c>
      <c r="P59" t="s">
        <v>534</v>
      </c>
      <c r="Q59">
        <v>100</v>
      </c>
      <c r="W59">
        <v>0</v>
      </c>
      <c r="X59">
        <v>2010740808</v>
      </c>
      <c r="Y59">
        <v>9.5999999999999992E-3</v>
      </c>
      <c r="AA59">
        <v>594.57000000000005</v>
      </c>
      <c r="AB59">
        <v>0</v>
      </c>
      <c r="AC59">
        <v>0</v>
      </c>
      <c r="AD59">
        <v>0</v>
      </c>
      <c r="AE59">
        <v>115.45</v>
      </c>
      <c r="AF59">
        <v>0</v>
      </c>
      <c r="AG59">
        <v>0</v>
      </c>
      <c r="AH59">
        <v>0</v>
      </c>
      <c r="AI59">
        <v>5.15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9.5999999999999992E-3</v>
      </c>
      <c r="AU59" t="s">
        <v>3</v>
      </c>
      <c r="AV59">
        <v>0</v>
      </c>
      <c r="AW59">
        <v>2</v>
      </c>
      <c r="AX59">
        <v>47920780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Y59*Source!I87</f>
        <v>7.7759999999999996E-2</v>
      </c>
      <c r="CY59">
        <f t="shared" si="9"/>
        <v>594.57000000000005</v>
      </c>
      <c r="CZ59">
        <f t="shared" si="10"/>
        <v>115.45</v>
      </c>
      <c r="DA59">
        <f t="shared" si="11"/>
        <v>5.15</v>
      </c>
      <c r="DB59">
        <f t="shared" si="12"/>
        <v>1.1100000000000001</v>
      </c>
      <c r="DC59">
        <f t="shared" si="13"/>
        <v>0</v>
      </c>
    </row>
    <row r="60" spans="1:107">
      <c r="A60">
        <f>ROW(Source!A87)</f>
        <v>87</v>
      </c>
      <c r="B60">
        <v>47920234</v>
      </c>
      <c r="C60">
        <v>47920758</v>
      </c>
      <c r="D60">
        <v>13583498</v>
      </c>
      <c r="E60">
        <v>1</v>
      </c>
      <c r="F60">
        <v>1</v>
      </c>
      <c r="G60">
        <v>1</v>
      </c>
      <c r="H60">
        <v>3</v>
      </c>
      <c r="I60" t="s">
        <v>535</v>
      </c>
      <c r="J60" t="s">
        <v>536</v>
      </c>
      <c r="K60" t="s">
        <v>537</v>
      </c>
      <c r="L60">
        <v>1348</v>
      </c>
      <c r="N60">
        <v>1009</v>
      </c>
      <c r="O60" t="s">
        <v>337</v>
      </c>
      <c r="P60" t="s">
        <v>337</v>
      </c>
      <c r="Q60">
        <v>1000</v>
      </c>
      <c r="W60">
        <v>0</v>
      </c>
      <c r="X60">
        <v>-1075176237</v>
      </c>
      <c r="Y60">
        <v>6.0000000000000002E-5</v>
      </c>
      <c r="AA60">
        <v>48128.4</v>
      </c>
      <c r="AB60">
        <v>0</v>
      </c>
      <c r="AC60">
        <v>0</v>
      </c>
      <c r="AD60">
        <v>0</v>
      </c>
      <c r="AE60">
        <v>9345.32</v>
      </c>
      <c r="AF60">
        <v>0</v>
      </c>
      <c r="AG60">
        <v>0</v>
      </c>
      <c r="AH60">
        <v>0</v>
      </c>
      <c r="AI60">
        <v>5.15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6.0000000000000002E-5</v>
      </c>
      <c r="AU60" t="s">
        <v>3</v>
      </c>
      <c r="AV60">
        <v>0</v>
      </c>
      <c r="AW60">
        <v>2</v>
      </c>
      <c r="AX60">
        <v>47920781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Y60*Source!I87</f>
        <v>4.86E-4</v>
      </c>
      <c r="CY60">
        <f t="shared" si="9"/>
        <v>48128.4</v>
      </c>
      <c r="CZ60">
        <f t="shared" si="10"/>
        <v>9345.32</v>
      </c>
      <c r="DA60">
        <f t="shared" si="11"/>
        <v>5.15</v>
      </c>
      <c r="DB60">
        <f t="shared" si="12"/>
        <v>0.56000000000000005</v>
      </c>
      <c r="DC60">
        <f t="shared" si="13"/>
        <v>0</v>
      </c>
    </row>
    <row r="61" spans="1:107">
      <c r="A61">
        <f>ROW(Source!A87)</f>
        <v>87</v>
      </c>
      <c r="B61">
        <v>47920234</v>
      </c>
      <c r="C61">
        <v>47920758</v>
      </c>
      <c r="D61">
        <v>13758332</v>
      </c>
      <c r="E61">
        <v>1</v>
      </c>
      <c r="F61">
        <v>1</v>
      </c>
      <c r="G61">
        <v>1</v>
      </c>
      <c r="H61">
        <v>3</v>
      </c>
      <c r="I61" t="s">
        <v>509</v>
      </c>
      <c r="J61" t="s">
        <v>510</v>
      </c>
      <c r="K61" t="s">
        <v>511</v>
      </c>
      <c r="L61">
        <v>1374</v>
      </c>
      <c r="N61">
        <v>1013</v>
      </c>
      <c r="O61" t="s">
        <v>512</v>
      </c>
      <c r="P61" t="s">
        <v>512</v>
      </c>
      <c r="Q61">
        <v>1</v>
      </c>
      <c r="W61">
        <v>0</v>
      </c>
      <c r="X61">
        <v>1723657366</v>
      </c>
      <c r="Y61">
        <v>3.26</v>
      </c>
      <c r="AA61">
        <v>5.15</v>
      </c>
      <c r="AB61">
        <v>0</v>
      </c>
      <c r="AC61">
        <v>0</v>
      </c>
      <c r="AD61">
        <v>0</v>
      </c>
      <c r="AE61">
        <v>1</v>
      </c>
      <c r="AF61">
        <v>0</v>
      </c>
      <c r="AG61">
        <v>0</v>
      </c>
      <c r="AH61">
        <v>0</v>
      </c>
      <c r="AI61">
        <v>5.15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3.26</v>
      </c>
      <c r="AU61" t="s">
        <v>3</v>
      </c>
      <c r="AV61">
        <v>0</v>
      </c>
      <c r="AW61">
        <v>2</v>
      </c>
      <c r="AX61">
        <v>47920782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Y61*Source!I87</f>
        <v>26.405999999999999</v>
      </c>
      <c r="CY61">
        <f t="shared" si="9"/>
        <v>5.15</v>
      </c>
      <c r="CZ61">
        <f t="shared" si="10"/>
        <v>1</v>
      </c>
      <c r="DA61">
        <f t="shared" si="11"/>
        <v>5.15</v>
      </c>
      <c r="DB61">
        <f t="shared" si="12"/>
        <v>3.26</v>
      </c>
      <c r="DC61">
        <f t="shared" si="13"/>
        <v>0</v>
      </c>
    </row>
    <row r="62" spans="1:107">
      <c r="A62">
        <f>ROW(Source!A88)</f>
        <v>88</v>
      </c>
      <c r="B62">
        <v>47920234</v>
      </c>
      <c r="C62">
        <v>47920783</v>
      </c>
      <c r="D62">
        <v>9915120</v>
      </c>
      <c r="E62">
        <v>1</v>
      </c>
      <c r="F62">
        <v>1</v>
      </c>
      <c r="G62">
        <v>1</v>
      </c>
      <c r="H62">
        <v>1</v>
      </c>
      <c r="I62" t="s">
        <v>507</v>
      </c>
      <c r="J62" t="s">
        <v>3</v>
      </c>
      <c r="K62" t="s">
        <v>508</v>
      </c>
      <c r="L62">
        <v>1191</v>
      </c>
      <c r="N62">
        <v>1013</v>
      </c>
      <c r="O62" t="s">
        <v>460</v>
      </c>
      <c r="P62" t="s">
        <v>460</v>
      </c>
      <c r="Q62">
        <v>1</v>
      </c>
      <c r="W62">
        <v>0</v>
      </c>
      <c r="X62">
        <v>1028592258</v>
      </c>
      <c r="Y62">
        <v>31.795199999999998</v>
      </c>
      <c r="AA62">
        <v>0</v>
      </c>
      <c r="AB62">
        <v>0</v>
      </c>
      <c r="AC62">
        <v>0</v>
      </c>
      <c r="AD62">
        <v>270.5</v>
      </c>
      <c r="AE62">
        <v>0</v>
      </c>
      <c r="AF62">
        <v>0</v>
      </c>
      <c r="AG62">
        <v>0</v>
      </c>
      <c r="AH62">
        <v>9.35</v>
      </c>
      <c r="AI62">
        <v>1</v>
      </c>
      <c r="AJ62">
        <v>1</v>
      </c>
      <c r="AK62">
        <v>1</v>
      </c>
      <c r="AL62">
        <v>28.93</v>
      </c>
      <c r="AN62">
        <v>0</v>
      </c>
      <c r="AO62">
        <v>1</v>
      </c>
      <c r="AP62">
        <v>1</v>
      </c>
      <c r="AQ62">
        <v>0</v>
      </c>
      <c r="AR62">
        <v>0</v>
      </c>
      <c r="AS62" t="s">
        <v>3</v>
      </c>
      <c r="AT62">
        <v>23.04</v>
      </c>
      <c r="AU62" t="s">
        <v>20</v>
      </c>
      <c r="AV62">
        <v>1</v>
      </c>
      <c r="AW62">
        <v>2</v>
      </c>
      <c r="AX62">
        <v>47920794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Y62*Source!I88</f>
        <v>38.472191999999993</v>
      </c>
      <c r="CY62">
        <f>AD62</f>
        <v>270.5</v>
      </c>
      <c r="CZ62">
        <f>AH62</f>
        <v>9.35</v>
      </c>
      <c r="DA62">
        <f>AL62</f>
        <v>28.93</v>
      </c>
      <c r="DB62">
        <f t="shared" ref="DB62:DB67" si="14">ROUND((ROUND(AT62*CZ62,2)*ROUND((1.2*1.15),7)),2)</f>
        <v>297.27999999999997</v>
      </c>
      <c r="DC62">
        <f t="shared" ref="DC62:DC67" si="15">ROUND((ROUND(AT62*AG62,2)*ROUND((1.2*1.15),7)),2)</f>
        <v>0</v>
      </c>
    </row>
    <row r="63" spans="1:107">
      <c r="A63">
        <f>ROW(Source!A88)</f>
        <v>88</v>
      </c>
      <c r="B63">
        <v>47920234</v>
      </c>
      <c r="C63">
        <v>47920783</v>
      </c>
      <c r="D63">
        <v>121548</v>
      </c>
      <c r="E63">
        <v>1</v>
      </c>
      <c r="F63">
        <v>1</v>
      </c>
      <c r="G63">
        <v>1</v>
      </c>
      <c r="H63">
        <v>1</v>
      </c>
      <c r="I63" t="s">
        <v>26</v>
      </c>
      <c r="J63" t="s">
        <v>3</v>
      </c>
      <c r="K63" t="s">
        <v>461</v>
      </c>
      <c r="L63">
        <v>608254</v>
      </c>
      <c r="N63">
        <v>1013</v>
      </c>
      <c r="O63" t="s">
        <v>462</v>
      </c>
      <c r="P63" t="s">
        <v>462</v>
      </c>
      <c r="Q63">
        <v>1</v>
      </c>
      <c r="W63">
        <v>0</v>
      </c>
      <c r="X63">
        <v>-185737400</v>
      </c>
      <c r="Y63">
        <v>0.27599999999999997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1</v>
      </c>
      <c r="AJ63">
        <v>1</v>
      </c>
      <c r="AK63">
        <v>28.93</v>
      </c>
      <c r="AL63">
        <v>1</v>
      </c>
      <c r="AN63">
        <v>0</v>
      </c>
      <c r="AO63">
        <v>1</v>
      </c>
      <c r="AP63">
        <v>1</v>
      </c>
      <c r="AQ63">
        <v>0</v>
      </c>
      <c r="AR63">
        <v>0</v>
      </c>
      <c r="AS63" t="s">
        <v>3</v>
      </c>
      <c r="AT63">
        <v>0.2</v>
      </c>
      <c r="AU63" t="s">
        <v>20</v>
      </c>
      <c r="AV63">
        <v>2</v>
      </c>
      <c r="AW63">
        <v>2</v>
      </c>
      <c r="AX63">
        <v>47920795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Y63*Source!I88</f>
        <v>0.33395999999999992</v>
      </c>
      <c r="CY63">
        <f>AD63</f>
        <v>0</v>
      </c>
      <c r="CZ63">
        <f>AH63</f>
        <v>0</v>
      </c>
      <c r="DA63">
        <f>AL63</f>
        <v>1</v>
      </c>
      <c r="DB63">
        <f t="shared" si="14"/>
        <v>0</v>
      </c>
      <c r="DC63">
        <f t="shared" si="15"/>
        <v>0</v>
      </c>
    </row>
    <row r="64" spans="1:107">
      <c r="A64">
        <f>ROW(Source!A88)</f>
        <v>88</v>
      </c>
      <c r="B64">
        <v>47920234</v>
      </c>
      <c r="C64">
        <v>47920783</v>
      </c>
      <c r="D64">
        <v>13554551</v>
      </c>
      <c r="E64">
        <v>1</v>
      </c>
      <c r="F64">
        <v>1</v>
      </c>
      <c r="G64">
        <v>1</v>
      </c>
      <c r="H64">
        <v>2</v>
      </c>
      <c r="I64" t="s">
        <v>513</v>
      </c>
      <c r="J64" t="s">
        <v>514</v>
      </c>
      <c r="K64" t="s">
        <v>515</v>
      </c>
      <c r="L64">
        <v>1368</v>
      </c>
      <c r="N64">
        <v>1011</v>
      </c>
      <c r="O64" t="s">
        <v>468</v>
      </c>
      <c r="P64" t="s">
        <v>468</v>
      </c>
      <c r="Q64">
        <v>1</v>
      </c>
      <c r="W64">
        <v>0</v>
      </c>
      <c r="X64">
        <v>2102783</v>
      </c>
      <c r="Y64">
        <v>0.27599999999999997</v>
      </c>
      <c r="AA64">
        <v>0</v>
      </c>
      <c r="AB64">
        <v>1209.8800000000001</v>
      </c>
      <c r="AC64">
        <v>379.56</v>
      </c>
      <c r="AD64">
        <v>0</v>
      </c>
      <c r="AE64">
        <v>0</v>
      </c>
      <c r="AF64">
        <v>156.72</v>
      </c>
      <c r="AG64">
        <v>13.12</v>
      </c>
      <c r="AH64">
        <v>0</v>
      </c>
      <c r="AI64">
        <v>1</v>
      </c>
      <c r="AJ64">
        <v>7.72</v>
      </c>
      <c r="AK64">
        <v>28.93</v>
      </c>
      <c r="AL64">
        <v>1</v>
      </c>
      <c r="AN64">
        <v>0</v>
      </c>
      <c r="AO64">
        <v>1</v>
      </c>
      <c r="AP64">
        <v>1</v>
      </c>
      <c r="AQ64">
        <v>0</v>
      </c>
      <c r="AR64">
        <v>0</v>
      </c>
      <c r="AS64" t="s">
        <v>3</v>
      </c>
      <c r="AT64">
        <v>0.2</v>
      </c>
      <c r="AU64" t="s">
        <v>20</v>
      </c>
      <c r="AV64">
        <v>0</v>
      </c>
      <c r="AW64">
        <v>2</v>
      </c>
      <c r="AX64">
        <v>47920796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Y64*Source!I88</f>
        <v>0.33395999999999992</v>
      </c>
      <c r="CY64">
        <f>AB64</f>
        <v>1209.8800000000001</v>
      </c>
      <c r="CZ64">
        <f>AF64</f>
        <v>156.72</v>
      </c>
      <c r="DA64">
        <f>AJ64</f>
        <v>7.72</v>
      </c>
      <c r="DB64">
        <f t="shared" si="14"/>
        <v>43.25</v>
      </c>
      <c r="DC64">
        <f t="shared" si="15"/>
        <v>3.62</v>
      </c>
    </row>
    <row r="65" spans="1:107">
      <c r="A65">
        <f>ROW(Source!A88)</f>
        <v>88</v>
      </c>
      <c r="B65">
        <v>47920234</v>
      </c>
      <c r="C65">
        <v>47920783</v>
      </c>
      <c r="D65">
        <v>13554657</v>
      </c>
      <c r="E65">
        <v>1</v>
      </c>
      <c r="F65">
        <v>1</v>
      </c>
      <c r="G65">
        <v>1</v>
      </c>
      <c r="H65">
        <v>2</v>
      </c>
      <c r="I65" t="s">
        <v>516</v>
      </c>
      <c r="J65" t="s">
        <v>517</v>
      </c>
      <c r="K65" t="s">
        <v>518</v>
      </c>
      <c r="L65">
        <v>1368</v>
      </c>
      <c r="N65">
        <v>1011</v>
      </c>
      <c r="O65" t="s">
        <v>468</v>
      </c>
      <c r="P65" t="s">
        <v>468</v>
      </c>
      <c r="Q65">
        <v>1</v>
      </c>
      <c r="W65">
        <v>0</v>
      </c>
      <c r="X65">
        <v>-1862098278</v>
      </c>
      <c r="Y65">
        <v>7.0931999999999986</v>
      </c>
      <c r="AA65">
        <v>0</v>
      </c>
      <c r="AB65">
        <v>20.84</v>
      </c>
      <c r="AC65">
        <v>0</v>
      </c>
      <c r="AD65">
        <v>0</v>
      </c>
      <c r="AE65">
        <v>0</v>
      </c>
      <c r="AF65">
        <v>2.7</v>
      </c>
      <c r="AG65">
        <v>0</v>
      </c>
      <c r="AH65">
        <v>0</v>
      </c>
      <c r="AI65">
        <v>1</v>
      </c>
      <c r="AJ65">
        <v>7.72</v>
      </c>
      <c r="AK65">
        <v>28.93</v>
      </c>
      <c r="AL65">
        <v>1</v>
      </c>
      <c r="AN65">
        <v>0</v>
      </c>
      <c r="AO65">
        <v>1</v>
      </c>
      <c r="AP65">
        <v>1</v>
      </c>
      <c r="AQ65">
        <v>0</v>
      </c>
      <c r="AR65">
        <v>0</v>
      </c>
      <c r="AS65" t="s">
        <v>3</v>
      </c>
      <c r="AT65">
        <v>5.14</v>
      </c>
      <c r="AU65" t="s">
        <v>20</v>
      </c>
      <c r="AV65">
        <v>0</v>
      </c>
      <c r="AW65">
        <v>2</v>
      </c>
      <c r="AX65">
        <v>47920797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Y65*Source!I88</f>
        <v>8.5827719999999985</v>
      </c>
      <c r="CY65">
        <f>AB65</f>
        <v>20.84</v>
      </c>
      <c r="CZ65">
        <f>AF65</f>
        <v>2.7</v>
      </c>
      <c r="DA65">
        <f>AJ65</f>
        <v>7.72</v>
      </c>
      <c r="DB65">
        <f t="shared" si="14"/>
        <v>19.149999999999999</v>
      </c>
      <c r="DC65">
        <f t="shared" si="15"/>
        <v>0</v>
      </c>
    </row>
    <row r="66" spans="1:107">
      <c r="A66">
        <f>ROW(Source!A88)</f>
        <v>88</v>
      </c>
      <c r="B66">
        <v>47920234</v>
      </c>
      <c r="C66">
        <v>47920783</v>
      </c>
      <c r="D66">
        <v>13554676</v>
      </c>
      <c r="E66">
        <v>1</v>
      </c>
      <c r="F66">
        <v>1</v>
      </c>
      <c r="G66">
        <v>1</v>
      </c>
      <c r="H66">
        <v>2</v>
      </c>
      <c r="I66" t="s">
        <v>519</v>
      </c>
      <c r="J66" t="s">
        <v>520</v>
      </c>
      <c r="K66" t="s">
        <v>521</v>
      </c>
      <c r="L66">
        <v>1368</v>
      </c>
      <c r="N66">
        <v>1011</v>
      </c>
      <c r="O66" t="s">
        <v>468</v>
      </c>
      <c r="P66" t="s">
        <v>468</v>
      </c>
      <c r="Q66">
        <v>1</v>
      </c>
      <c r="W66">
        <v>0</v>
      </c>
      <c r="X66">
        <v>1315153015</v>
      </c>
      <c r="Y66">
        <v>7.0931999999999986</v>
      </c>
      <c r="AA66">
        <v>0</v>
      </c>
      <c r="AB66">
        <v>89.86</v>
      </c>
      <c r="AC66">
        <v>0</v>
      </c>
      <c r="AD66">
        <v>0</v>
      </c>
      <c r="AE66">
        <v>0</v>
      </c>
      <c r="AF66">
        <v>11.64</v>
      </c>
      <c r="AG66">
        <v>0</v>
      </c>
      <c r="AH66">
        <v>0</v>
      </c>
      <c r="AI66">
        <v>1</v>
      </c>
      <c r="AJ66">
        <v>7.72</v>
      </c>
      <c r="AK66">
        <v>28.93</v>
      </c>
      <c r="AL66">
        <v>1</v>
      </c>
      <c r="AN66">
        <v>0</v>
      </c>
      <c r="AO66">
        <v>1</v>
      </c>
      <c r="AP66">
        <v>1</v>
      </c>
      <c r="AQ66">
        <v>0</v>
      </c>
      <c r="AR66">
        <v>0</v>
      </c>
      <c r="AS66" t="s">
        <v>3</v>
      </c>
      <c r="AT66">
        <v>5.14</v>
      </c>
      <c r="AU66" t="s">
        <v>20</v>
      </c>
      <c r="AV66">
        <v>0</v>
      </c>
      <c r="AW66">
        <v>2</v>
      </c>
      <c r="AX66">
        <v>47920798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Y66*Source!I88</f>
        <v>8.5827719999999985</v>
      </c>
      <c r="CY66">
        <f>AB66</f>
        <v>89.86</v>
      </c>
      <c r="CZ66">
        <f>AF66</f>
        <v>11.64</v>
      </c>
      <c r="DA66">
        <f>AJ66</f>
        <v>7.72</v>
      </c>
      <c r="DB66">
        <f t="shared" si="14"/>
        <v>82.57</v>
      </c>
      <c r="DC66">
        <f t="shared" si="15"/>
        <v>0</v>
      </c>
    </row>
    <row r="67" spans="1:107">
      <c r="A67">
        <f>ROW(Source!A88)</f>
        <v>88</v>
      </c>
      <c r="B67">
        <v>47920234</v>
      </c>
      <c r="C67">
        <v>47920783</v>
      </c>
      <c r="D67">
        <v>13556983</v>
      </c>
      <c r="E67">
        <v>1</v>
      </c>
      <c r="F67">
        <v>1</v>
      </c>
      <c r="G67">
        <v>1</v>
      </c>
      <c r="H67">
        <v>2</v>
      </c>
      <c r="I67" t="s">
        <v>489</v>
      </c>
      <c r="J67" t="s">
        <v>490</v>
      </c>
      <c r="K67" t="s">
        <v>491</v>
      </c>
      <c r="L67">
        <v>1368</v>
      </c>
      <c r="N67">
        <v>1011</v>
      </c>
      <c r="O67" t="s">
        <v>468</v>
      </c>
      <c r="P67" t="s">
        <v>468</v>
      </c>
      <c r="Q67">
        <v>1</v>
      </c>
      <c r="W67">
        <v>0</v>
      </c>
      <c r="X67">
        <v>1849659131</v>
      </c>
      <c r="Y67">
        <v>0.27599999999999997</v>
      </c>
      <c r="AA67">
        <v>0</v>
      </c>
      <c r="AB67">
        <v>623.39</v>
      </c>
      <c r="AC67">
        <v>0</v>
      </c>
      <c r="AD67">
        <v>0</v>
      </c>
      <c r="AE67">
        <v>0</v>
      </c>
      <c r="AF67">
        <v>80.75</v>
      </c>
      <c r="AG67">
        <v>0</v>
      </c>
      <c r="AH67">
        <v>0</v>
      </c>
      <c r="AI67">
        <v>1</v>
      </c>
      <c r="AJ67">
        <v>7.72</v>
      </c>
      <c r="AK67">
        <v>28.93</v>
      </c>
      <c r="AL67">
        <v>1</v>
      </c>
      <c r="AN67">
        <v>0</v>
      </c>
      <c r="AO67">
        <v>1</v>
      </c>
      <c r="AP67">
        <v>1</v>
      </c>
      <c r="AQ67">
        <v>0</v>
      </c>
      <c r="AR67">
        <v>0</v>
      </c>
      <c r="AS67" t="s">
        <v>3</v>
      </c>
      <c r="AT67">
        <v>0.2</v>
      </c>
      <c r="AU67" t="s">
        <v>20</v>
      </c>
      <c r="AV67">
        <v>0</v>
      </c>
      <c r="AW67">
        <v>2</v>
      </c>
      <c r="AX67">
        <v>47920799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Y67*Source!I88</f>
        <v>0.33395999999999992</v>
      </c>
      <c r="CY67">
        <f>AB67</f>
        <v>623.39</v>
      </c>
      <c r="CZ67">
        <f>AF67</f>
        <v>80.75</v>
      </c>
      <c r="DA67">
        <f>AJ67</f>
        <v>7.72</v>
      </c>
      <c r="DB67">
        <f t="shared" si="14"/>
        <v>22.29</v>
      </c>
      <c r="DC67">
        <f t="shared" si="15"/>
        <v>0</v>
      </c>
    </row>
    <row r="68" spans="1:107">
      <c r="A68">
        <f>ROW(Source!A88)</f>
        <v>88</v>
      </c>
      <c r="B68">
        <v>47920234</v>
      </c>
      <c r="C68">
        <v>47920783</v>
      </c>
      <c r="D68">
        <v>13561081</v>
      </c>
      <c r="E68">
        <v>1</v>
      </c>
      <c r="F68">
        <v>1</v>
      </c>
      <c r="G68">
        <v>1</v>
      </c>
      <c r="H68">
        <v>3</v>
      </c>
      <c r="I68" t="s">
        <v>531</v>
      </c>
      <c r="J68" t="s">
        <v>532</v>
      </c>
      <c r="K68" t="s">
        <v>533</v>
      </c>
      <c r="L68">
        <v>1308</v>
      </c>
      <c r="N68">
        <v>1003</v>
      </c>
      <c r="O68" t="s">
        <v>534</v>
      </c>
      <c r="P68" t="s">
        <v>534</v>
      </c>
      <c r="Q68">
        <v>100</v>
      </c>
      <c r="W68">
        <v>0</v>
      </c>
      <c r="X68">
        <v>2010740808</v>
      </c>
      <c r="Y68">
        <v>9.5999999999999992E-3</v>
      </c>
      <c r="AA68">
        <v>594.57000000000005</v>
      </c>
      <c r="AB68">
        <v>0</v>
      </c>
      <c r="AC68">
        <v>0</v>
      </c>
      <c r="AD68">
        <v>0</v>
      </c>
      <c r="AE68">
        <v>115.45</v>
      </c>
      <c r="AF68">
        <v>0</v>
      </c>
      <c r="AG68">
        <v>0</v>
      </c>
      <c r="AH68">
        <v>0</v>
      </c>
      <c r="AI68">
        <v>5.15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9.5999999999999992E-3</v>
      </c>
      <c r="AU68" t="s">
        <v>3</v>
      </c>
      <c r="AV68">
        <v>0</v>
      </c>
      <c r="AW68">
        <v>2</v>
      </c>
      <c r="AX68">
        <v>47920800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Y68*Source!I88</f>
        <v>1.1615999999999998E-2</v>
      </c>
      <c r="CY68">
        <f>AA68</f>
        <v>594.57000000000005</v>
      </c>
      <c r="CZ68">
        <f>AE68</f>
        <v>115.45</v>
      </c>
      <c r="DA68">
        <f>AI68</f>
        <v>5.15</v>
      </c>
      <c r="DB68">
        <f>ROUND(ROUND(AT68*CZ68,2),2)</f>
        <v>1.1100000000000001</v>
      </c>
      <c r="DC68">
        <f>ROUND(ROUND(AT68*AG68,2),2)</f>
        <v>0</v>
      </c>
    </row>
    <row r="69" spans="1:107">
      <c r="A69">
        <f>ROW(Source!A88)</f>
        <v>88</v>
      </c>
      <c r="B69">
        <v>47920234</v>
      </c>
      <c r="C69">
        <v>47920783</v>
      </c>
      <c r="D69">
        <v>13583498</v>
      </c>
      <c r="E69">
        <v>1</v>
      </c>
      <c r="F69">
        <v>1</v>
      </c>
      <c r="G69">
        <v>1</v>
      </c>
      <c r="H69">
        <v>3</v>
      </c>
      <c r="I69" t="s">
        <v>535</v>
      </c>
      <c r="J69" t="s">
        <v>536</v>
      </c>
      <c r="K69" t="s">
        <v>537</v>
      </c>
      <c r="L69">
        <v>1348</v>
      </c>
      <c r="N69">
        <v>1009</v>
      </c>
      <c r="O69" t="s">
        <v>337</v>
      </c>
      <c r="P69" t="s">
        <v>337</v>
      </c>
      <c r="Q69">
        <v>1000</v>
      </c>
      <c r="W69">
        <v>0</v>
      </c>
      <c r="X69">
        <v>-1075176237</v>
      </c>
      <c r="Y69">
        <v>6.0000000000000002E-5</v>
      </c>
      <c r="AA69">
        <v>48128.4</v>
      </c>
      <c r="AB69">
        <v>0</v>
      </c>
      <c r="AC69">
        <v>0</v>
      </c>
      <c r="AD69">
        <v>0</v>
      </c>
      <c r="AE69">
        <v>9345.32</v>
      </c>
      <c r="AF69">
        <v>0</v>
      </c>
      <c r="AG69">
        <v>0</v>
      </c>
      <c r="AH69">
        <v>0</v>
      </c>
      <c r="AI69">
        <v>5.15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6.0000000000000002E-5</v>
      </c>
      <c r="AU69" t="s">
        <v>3</v>
      </c>
      <c r="AV69">
        <v>0</v>
      </c>
      <c r="AW69">
        <v>2</v>
      </c>
      <c r="AX69">
        <v>47920801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Y69*Source!I88</f>
        <v>7.2600000000000003E-5</v>
      </c>
      <c r="CY69">
        <f>AA69</f>
        <v>48128.4</v>
      </c>
      <c r="CZ69">
        <f>AE69</f>
        <v>9345.32</v>
      </c>
      <c r="DA69">
        <f>AI69</f>
        <v>5.15</v>
      </c>
      <c r="DB69">
        <f>ROUND(ROUND(AT69*CZ69,2),2)</f>
        <v>0.56000000000000005</v>
      </c>
      <c r="DC69">
        <f>ROUND(ROUND(AT69*AG69,2),2)</f>
        <v>0</v>
      </c>
    </row>
    <row r="70" spans="1:107">
      <c r="A70">
        <f>ROW(Source!A88)</f>
        <v>88</v>
      </c>
      <c r="B70">
        <v>47920234</v>
      </c>
      <c r="C70">
        <v>47920783</v>
      </c>
      <c r="D70">
        <v>13651198</v>
      </c>
      <c r="E70">
        <v>1</v>
      </c>
      <c r="F70">
        <v>1</v>
      </c>
      <c r="G70">
        <v>1</v>
      </c>
      <c r="H70">
        <v>3</v>
      </c>
      <c r="I70" t="s">
        <v>538</v>
      </c>
      <c r="J70" t="s">
        <v>539</v>
      </c>
      <c r="K70" t="s">
        <v>540</v>
      </c>
      <c r="L70">
        <v>1346</v>
      </c>
      <c r="N70">
        <v>1009</v>
      </c>
      <c r="O70" t="s">
        <v>219</v>
      </c>
      <c r="P70" t="s">
        <v>219</v>
      </c>
      <c r="Q70">
        <v>1</v>
      </c>
      <c r="W70">
        <v>0</v>
      </c>
      <c r="X70">
        <v>551678104</v>
      </c>
      <c r="Y70">
        <v>0.5</v>
      </c>
      <c r="AA70">
        <v>338.56</v>
      </c>
      <c r="AB70">
        <v>0</v>
      </c>
      <c r="AC70">
        <v>0</v>
      </c>
      <c r="AD70">
        <v>0</v>
      </c>
      <c r="AE70">
        <v>65.739999999999995</v>
      </c>
      <c r="AF70">
        <v>0</v>
      </c>
      <c r="AG70">
        <v>0</v>
      </c>
      <c r="AH70">
        <v>0</v>
      </c>
      <c r="AI70">
        <v>5.15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0.5</v>
      </c>
      <c r="AU70" t="s">
        <v>3</v>
      </c>
      <c r="AV70">
        <v>0</v>
      </c>
      <c r="AW70">
        <v>2</v>
      </c>
      <c r="AX70">
        <v>47920802</v>
      </c>
      <c r="AY70">
        <v>1</v>
      </c>
      <c r="AZ70">
        <v>0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Y70*Source!I88</f>
        <v>0.60499999999999998</v>
      </c>
      <c r="CY70">
        <f>AA70</f>
        <v>338.56</v>
      </c>
      <c r="CZ70">
        <f>AE70</f>
        <v>65.739999999999995</v>
      </c>
      <c r="DA70">
        <f>AI70</f>
        <v>5.15</v>
      </c>
      <c r="DB70">
        <f>ROUND(ROUND(AT70*CZ70,2),2)</f>
        <v>32.869999999999997</v>
      </c>
      <c r="DC70">
        <f>ROUND(ROUND(AT70*AG70,2),2)</f>
        <v>0</v>
      </c>
    </row>
    <row r="71" spans="1:107">
      <c r="A71">
        <f>ROW(Source!A88)</f>
        <v>88</v>
      </c>
      <c r="B71">
        <v>47920234</v>
      </c>
      <c r="C71">
        <v>47920783</v>
      </c>
      <c r="D71">
        <v>13758332</v>
      </c>
      <c r="E71">
        <v>1</v>
      </c>
      <c r="F71">
        <v>1</v>
      </c>
      <c r="G71">
        <v>1</v>
      </c>
      <c r="H71">
        <v>3</v>
      </c>
      <c r="I71" t="s">
        <v>509</v>
      </c>
      <c r="J71" t="s">
        <v>510</v>
      </c>
      <c r="K71" t="s">
        <v>511</v>
      </c>
      <c r="L71">
        <v>1374</v>
      </c>
      <c r="N71">
        <v>1013</v>
      </c>
      <c r="O71" t="s">
        <v>512</v>
      </c>
      <c r="P71" t="s">
        <v>512</v>
      </c>
      <c r="Q71">
        <v>1</v>
      </c>
      <c r="W71">
        <v>0</v>
      </c>
      <c r="X71">
        <v>1723657366</v>
      </c>
      <c r="Y71">
        <v>4.3099999999999996</v>
      </c>
      <c r="AA71">
        <v>5.15</v>
      </c>
      <c r="AB71">
        <v>0</v>
      </c>
      <c r="AC71">
        <v>0</v>
      </c>
      <c r="AD71">
        <v>0</v>
      </c>
      <c r="AE71">
        <v>1</v>
      </c>
      <c r="AF71">
        <v>0</v>
      </c>
      <c r="AG71">
        <v>0</v>
      </c>
      <c r="AH71">
        <v>0</v>
      </c>
      <c r="AI71">
        <v>5.15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4.3099999999999996</v>
      </c>
      <c r="AU71" t="s">
        <v>3</v>
      </c>
      <c r="AV71">
        <v>0</v>
      </c>
      <c r="AW71">
        <v>2</v>
      </c>
      <c r="AX71">
        <v>47920803</v>
      </c>
      <c r="AY71">
        <v>1</v>
      </c>
      <c r="AZ71">
        <v>0</v>
      </c>
      <c r="BA71">
        <v>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Y71*Source!I88</f>
        <v>5.2150999999999996</v>
      </c>
      <c r="CY71">
        <f>AA71</f>
        <v>5.15</v>
      </c>
      <c r="CZ71">
        <f>AE71</f>
        <v>1</v>
      </c>
      <c r="DA71">
        <f>AI71</f>
        <v>5.15</v>
      </c>
      <c r="DB71">
        <f>ROUND(ROUND(AT71*CZ71,2),2)</f>
        <v>4.3099999999999996</v>
      </c>
      <c r="DC71">
        <f>ROUND(ROUND(AT71*AG71,2),2)</f>
        <v>0</v>
      </c>
    </row>
    <row r="72" spans="1:107">
      <c r="A72">
        <f>ROW(Source!A89)</f>
        <v>89</v>
      </c>
      <c r="B72">
        <v>47920234</v>
      </c>
      <c r="C72">
        <v>47920804</v>
      </c>
      <c r="D72">
        <v>9915120</v>
      </c>
      <c r="E72">
        <v>1</v>
      </c>
      <c r="F72">
        <v>1</v>
      </c>
      <c r="G72">
        <v>1</v>
      </c>
      <c r="H72">
        <v>1</v>
      </c>
      <c r="I72" t="s">
        <v>507</v>
      </c>
      <c r="J72" t="s">
        <v>3</v>
      </c>
      <c r="K72" t="s">
        <v>508</v>
      </c>
      <c r="L72">
        <v>1191</v>
      </c>
      <c r="N72">
        <v>1013</v>
      </c>
      <c r="O72" t="s">
        <v>460</v>
      </c>
      <c r="P72" t="s">
        <v>460</v>
      </c>
      <c r="Q72">
        <v>1</v>
      </c>
      <c r="W72">
        <v>0</v>
      </c>
      <c r="X72">
        <v>1028592258</v>
      </c>
      <c r="Y72">
        <v>40.068000000000005</v>
      </c>
      <c r="AA72">
        <v>0</v>
      </c>
      <c r="AB72">
        <v>0</v>
      </c>
      <c r="AC72">
        <v>0</v>
      </c>
      <c r="AD72">
        <v>270.5</v>
      </c>
      <c r="AE72">
        <v>0</v>
      </c>
      <c r="AF72">
        <v>0</v>
      </c>
      <c r="AG72">
        <v>0</v>
      </c>
      <c r="AH72">
        <v>9.35</v>
      </c>
      <c r="AI72">
        <v>1</v>
      </c>
      <c r="AJ72">
        <v>1</v>
      </c>
      <c r="AK72">
        <v>1</v>
      </c>
      <c r="AL72">
        <v>28.93</v>
      </c>
      <c r="AN72">
        <v>0</v>
      </c>
      <c r="AO72">
        <v>1</v>
      </c>
      <c r="AP72">
        <v>1</v>
      </c>
      <c r="AQ72">
        <v>0</v>
      </c>
      <c r="AR72">
        <v>0</v>
      </c>
      <c r="AS72" t="s">
        <v>3</v>
      </c>
      <c r="AT72">
        <v>29.68</v>
      </c>
      <c r="AU72" t="s">
        <v>188</v>
      </c>
      <c r="AV72">
        <v>1</v>
      </c>
      <c r="AW72">
        <v>2</v>
      </c>
      <c r="AX72">
        <v>47920816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Y72*Source!I89</f>
        <v>1.20204</v>
      </c>
      <c r="CY72">
        <f>AD72</f>
        <v>270.5</v>
      </c>
      <c r="CZ72">
        <f>AH72</f>
        <v>9.35</v>
      </c>
      <c r="DA72">
        <f>AL72</f>
        <v>28.93</v>
      </c>
      <c r="DB72">
        <f t="shared" ref="DB72:DB77" si="16">ROUND((ROUND(AT72*CZ72,2)*ROUND(1.35,7)),2)</f>
        <v>374.64</v>
      </c>
      <c r="DC72">
        <f t="shared" ref="DC72:DC77" si="17">ROUND((ROUND(AT72*AG72,2)*ROUND(1.35,7)),2)</f>
        <v>0</v>
      </c>
    </row>
    <row r="73" spans="1:107">
      <c r="A73">
        <f>ROW(Source!A89)</f>
        <v>89</v>
      </c>
      <c r="B73">
        <v>47920234</v>
      </c>
      <c r="C73">
        <v>47920804</v>
      </c>
      <c r="D73">
        <v>121548</v>
      </c>
      <c r="E73">
        <v>1</v>
      </c>
      <c r="F73">
        <v>1</v>
      </c>
      <c r="G73">
        <v>1</v>
      </c>
      <c r="H73">
        <v>1</v>
      </c>
      <c r="I73" t="s">
        <v>26</v>
      </c>
      <c r="J73" t="s">
        <v>3</v>
      </c>
      <c r="K73" t="s">
        <v>461</v>
      </c>
      <c r="L73">
        <v>608254</v>
      </c>
      <c r="N73">
        <v>1013</v>
      </c>
      <c r="O73" t="s">
        <v>462</v>
      </c>
      <c r="P73" t="s">
        <v>462</v>
      </c>
      <c r="Q73">
        <v>1</v>
      </c>
      <c r="W73">
        <v>0</v>
      </c>
      <c r="X73">
        <v>-185737400</v>
      </c>
      <c r="Y73">
        <v>0.27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28.93</v>
      </c>
      <c r="AL73">
        <v>1</v>
      </c>
      <c r="AN73">
        <v>0</v>
      </c>
      <c r="AO73">
        <v>1</v>
      </c>
      <c r="AP73">
        <v>1</v>
      </c>
      <c r="AQ73">
        <v>0</v>
      </c>
      <c r="AR73">
        <v>0</v>
      </c>
      <c r="AS73" t="s">
        <v>3</v>
      </c>
      <c r="AT73">
        <v>0.2</v>
      </c>
      <c r="AU73" t="s">
        <v>188</v>
      </c>
      <c r="AV73">
        <v>2</v>
      </c>
      <c r="AW73">
        <v>2</v>
      </c>
      <c r="AX73">
        <v>47920817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Y73*Source!I89</f>
        <v>8.0999999999999996E-3</v>
      </c>
      <c r="CY73">
        <f>AD73</f>
        <v>0</v>
      </c>
      <c r="CZ73">
        <f>AH73</f>
        <v>0</v>
      </c>
      <c r="DA73">
        <f>AL73</f>
        <v>1</v>
      </c>
      <c r="DB73">
        <f t="shared" si="16"/>
        <v>0</v>
      </c>
      <c r="DC73">
        <f t="shared" si="17"/>
        <v>0</v>
      </c>
    </row>
    <row r="74" spans="1:107">
      <c r="A74">
        <f>ROW(Source!A89)</f>
        <v>89</v>
      </c>
      <c r="B74">
        <v>47920234</v>
      </c>
      <c r="C74">
        <v>47920804</v>
      </c>
      <c r="D74">
        <v>13554551</v>
      </c>
      <c r="E74">
        <v>1</v>
      </c>
      <c r="F74">
        <v>1</v>
      </c>
      <c r="G74">
        <v>1</v>
      </c>
      <c r="H74">
        <v>2</v>
      </c>
      <c r="I74" t="s">
        <v>513</v>
      </c>
      <c r="J74" t="s">
        <v>514</v>
      </c>
      <c r="K74" t="s">
        <v>515</v>
      </c>
      <c r="L74">
        <v>1368</v>
      </c>
      <c r="N74">
        <v>1011</v>
      </c>
      <c r="O74" t="s">
        <v>468</v>
      </c>
      <c r="P74" t="s">
        <v>468</v>
      </c>
      <c r="Q74">
        <v>1</v>
      </c>
      <c r="W74">
        <v>0</v>
      </c>
      <c r="X74">
        <v>2102783</v>
      </c>
      <c r="Y74">
        <v>0.27</v>
      </c>
      <c r="AA74">
        <v>0</v>
      </c>
      <c r="AB74">
        <v>1209.8800000000001</v>
      </c>
      <c r="AC74">
        <v>379.56</v>
      </c>
      <c r="AD74">
        <v>0</v>
      </c>
      <c r="AE74">
        <v>0</v>
      </c>
      <c r="AF74">
        <v>156.72</v>
      </c>
      <c r="AG74">
        <v>13.12</v>
      </c>
      <c r="AH74">
        <v>0</v>
      </c>
      <c r="AI74">
        <v>1</v>
      </c>
      <c r="AJ74">
        <v>7.72</v>
      </c>
      <c r="AK74">
        <v>28.93</v>
      </c>
      <c r="AL74">
        <v>1</v>
      </c>
      <c r="AN74">
        <v>0</v>
      </c>
      <c r="AO74">
        <v>1</v>
      </c>
      <c r="AP74">
        <v>1</v>
      </c>
      <c r="AQ74">
        <v>0</v>
      </c>
      <c r="AR74">
        <v>0</v>
      </c>
      <c r="AS74" t="s">
        <v>3</v>
      </c>
      <c r="AT74">
        <v>0.2</v>
      </c>
      <c r="AU74" t="s">
        <v>188</v>
      </c>
      <c r="AV74">
        <v>0</v>
      </c>
      <c r="AW74">
        <v>2</v>
      </c>
      <c r="AX74">
        <v>47920818</v>
      </c>
      <c r="AY74">
        <v>1</v>
      </c>
      <c r="AZ74">
        <v>0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Y74*Source!I89</f>
        <v>8.0999999999999996E-3</v>
      </c>
      <c r="CY74">
        <f>AB74</f>
        <v>1209.8800000000001</v>
      </c>
      <c r="CZ74">
        <f>AF74</f>
        <v>156.72</v>
      </c>
      <c r="DA74">
        <f>AJ74</f>
        <v>7.72</v>
      </c>
      <c r="DB74">
        <f t="shared" si="16"/>
        <v>42.31</v>
      </c>
      <c r="DC74">
        <f t="shared" si="17"/>
        <v>3.54</v>
      </c>
    </row>
    <row r="75" spans="1:107">
      <c r="A75">
        <f>ROW(Source!A89)</f>
        <v>89</v>
      </c>
      <c r="B75">
        <v>47920234</v>
      </c>
      <c r="C75">
        <v>47920804</v>
      </c>
      <c r="D75">
        <v>13554657</v>
      </c>
      <c r="E75">
        <v>1</v>
      </c>
      <c r="F75">
        <v>1</v>
      </c>
      <c r="G75">
        <v>1</v>
      </c>
      <c r="H75">
        <v>2</v>
      </c>
      <c r="I75" t="s">
        <v>516</v>
      </c>
      <c r="J75" t="s">
        <v>517</v>
      </c>
      <c r="K75" t="s">
        <v>518</v>
      </c>
      <c r="L75">
        <v>1368</v>
      </c>
      <c r="N75">
        <v>1011</v>
      </c>
      <c r="O75" t="s">
        <v>468</v>
      </c>
      <c r="P75" t="s">
        <v>468</v>
      </c>
      <c r="Q75">
        <v>1</v>
      </c>
      <c r="W75">
        <v>0</v>
      </c>
      <c r="X75">
        <v>-1862098278</v>
      </c>
      <c r="Y75">
        <v>9.3150000000000013</v>
      </c>
      <c r="AA75">
        <v>0</v>
      </c>
      <c r="AB75">
        <v>20.84</v>
      </c>
      <c r="AC75">
        <v>0</v>
      </c>
      <c r="AD75">
        <v>0</v>
      </c>
      <c r="AE75">
        <v>0</v>
      </c>
      <c r="AF75">
        <v>2.7</v>
      </c>
      <c r="AG75">
        <v>0</v>
      </c>
      <c r="AH75">
        <v>0</v>
      </c>
      <c r="AI75">
        <v>1</v>
      </c>
      <c r="AJ75">
        <v>7.72</v>
      </c>
      <c r="AK75">
        <v>28.93</v>
      </c>
      <c r="AL75">
        <v>1</v>
      </c>
      <c r="AN75">
        <v>0</v>
      </c>
      <c r="AO75">
        <v>1</v>
      </c>
      <c r="AP75">
        <v>1</v>
      </c>
      <c r="AQ75">
        <v>0</v>
      </c>
      <c r="AR75">
        <v>0</v>
      </c>
      <c r="AS75" t="s">
        <v>3</v>
      </c>
      <c r="AT75">
        <v>6.9</v>
      </c>
      <c r="AU75" t="s">
        <v>188</v>
      </c>
      <c r="AV75">
        <v>0</v>
      </c>
      <c r="AW75">
        <v>2</v>
      </c>
      <c r="AX75">
        <v>47920819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Y75*Source!I89</f>
        <v>0.27945000000000003</v>
      </c>
      <c r="CY75">
        <f>AB75</f>
        <v>20.84</v>
      </c>
      <c r="CZ75">
        <f>AF75</f>
        <v>2.7</v>
      </c>
      <c r="DA75">
        <f>AJ75</f>
        <v>7.72</v>
      </c>
      <c r="DB75">
        <f t="shared" si="16"/>
        <v>25.15</v>
      </c>
      <c r="DC75">
        <f t="shared" si="17"/>
        <v>0</v>
      </c>
    </row>
    <row r="76" spans="1:107">
      <c r="A76">
        <f>ROW(Source!A89)</f>
        <v>89</v>
      </c>
      <c r="B76">
        <v>47920234</v>
      </c>
      <c r="C76">
        <v>47920804</v>
      </c>
      <c r="D76">
        <v>13554676</v>
      </c>
      <c r="E76">
        <v>1</v>
      </c>
      <c r="F76">
        <v>1</v>
      </c>
      <c r="G76">
        <v>1</v>
      </c>
      <c r="H76">
        <v>2</v>
      </c>
      <c r="I76" t="s">
        <v>519</v>
      </c>
      <c r="J76" t="s">
        <v>520</v>
      </c>
      <c r="K76" t="s">
        <v>521</v>
      </c>
      <c r="L76">
        <v>1368</v>
      </c>
      <c r="N76">
        <v>1011</v>
      </c>
      <c r="O76" t="s">
        <v>468</v>
      </c>
      <c r="P76" t="s">
        <v>468</v>
      </c>
      <c r="Q76">
        <v>1</v>
      </c>
      <c r="W76">
        <v>0</v>
      </c>
      <c r="X76">
        <v>1315153015</v>
      </c>
      <c r="Y76">
        <v>9.3150000000000013</v>
      </c>
      <c r="AA76">
        <v>0</v>
      </c>
      <c r="AB76">
        <v>89.86</v>
      </c>
      <c r="AC76">
        <v>0</v>
      </c>
      <c r="AD76">
        <v>0</v>
      </c>
      <c r="AE76">
        <v>0</v>
      </c>
      <c r="AF76">
        <v>11.64</v>
      </c>
      <c r="AG76">
        <v>0</v>
      </c>
      <c r="AH76">
        <v>0</v>
      </c>
      <c r="AI76">
        <v>1</v>
      </c>
      <c r="AJ76">
        <v>7.72</v>
      </c>
      <c r="AK76">
        <v>28.93</v>
      </c>
      <c r="AL76">
        <v>1</v>
      </c>
      <c r="AN76">
        <v>0</v>
      </c>
      <c r="AO76">
        <v>1</v>
      </c>
      <c r="AP76">
        <v>1</v>
      </c>
      <c r="AQ76">
        <v>0</v>
      </c>
      <c r="AR76">
        <v>0</v>
      </c>
      <c r="AS76" t="s">
        <v>3</v>
      </c>
      <c r="AT76">
        <v>6.9</v>
      </c>
      <c r="AU76" t="s">
        <v>188</v>
      </c>
      <c r="AV76">
        <v>0</v>
      </c>
      <c r="AW76">
        <v>2</v>
      </c>
      <c r="AX76">
        <v>47920820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Y76*Source!I89</f>
        <v>0.27945000000000003</v>
      </c>
      <c r="CY76">
        <f>AB76</f>
        <v>89.86</v>
      </c>
      <c r="CZ76">
        <f>AF76</f>
        <v>11.64</v>
      </c>
      <c r="DA76">
        <f>AJ76</f>
        <v>7.72</v>
      </c>
      <c r="DB76">
        <f t="shared" si="16"/>
        <v>108.43</v>
      </c>
      <c r="DC76">
        <f t="shared" si="17"/>
        <v>0</v>
      </c>
    </row>
    <row r="77" spans="1:107">
      <c r="A77">
        <f>ROW(Source!A89)</f>
        <v>89</v>
      </c>
      <c r="B77">
        <v>47920234</v>
      </c>
      <c r="C77">
        <v>47920804</v>
      </c>
      <c r="D77">
        <v>13556983</v>
      </c>
      <c r="E77">
        <v>1</v>
      </c>
      <c r="F77">
        <v>1</v>
      </c>
      <c r="G77">
        <v>1</v>
      </c>
      <c r="H77">
        <v>2</v>
      </c>
      <c r="I77" t="s">
        <v>489</v>
      </c>
      <c r="J77" t="s">
        <v>490</v>
      </c>
      <c r="K77" t="s">
        <v>491</v>
      </c>
      <c r="L77">
        <v>1368</v>
      </c>
      <c r="N77">
        <v>1011</v>
      </c>
      <c r="O77" t="s">
        <v>468</v>
      </c>
      <c r="P77" t="s">
        <v>468</v>
      </c>
      <c r="Q77">
        <v>1</v>
      </c>
      <c r="W77">
        <v>0</v>
      </c>
      <c r="X77">
        <v>1849659131</v>
      </c>
      <c r="Y77">
        <v>0.27</v>
      </c>
      <c r="AA77">
        <v>0</v>
      </c>
      <c r="AB77">
        <v>623.39</v>
      </c>
      <c r="AC77">
        <v>0</v>
      </c>
      <c r="AD77">
        <v>0</v>
      </c>
      <c r="AE77">
        <v>0</v>
      </c>
      <c r="AF77">
        <v>80.75</v>
      </c>
      <c r="AG77">
        <v>0</v>
      </c>
      <c r="AH77">
        <v>0</v>
      </c>
      <c r="AI77">
        <v>1</v>
      </c>
      <c r="AJ77">
        <v>7.72</v>
      </c>
      <c r="AK77">
        <v>28.93</v>
      </c>
      <c r="AL77">
        <v>1</v>
      </c>
      <c r="AN77">
        <v>0</v>
      </c>
      <c r="AO77">
        <v>1</v>
      </c>
      <c r="AP77">
        <v>1</v>
      </c>
      <c r="AQ77">
        <v>0</v>
      </c>
      <c r="AR77">
        <v>0</v>
      </c>
      <c r="AS77" t="s">
        <v>3</v>
      </c>
      <c r="AT77">
        <v>0.2</v>
      </c>
      <c r="AU77" t="s">
        <v>188</v>
      </c>
      <c r="AV77">
        <v>0</v>
      </c>
      <c r="AW77">
        <v>2</v>
      </c>
      <c r="AX77">
        <v>47920821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Y77*Source!I89</f>
        <v>8.0999999999999996E-3</v>
      </c>
      <c r="CY77">
        <f>AB77</f>
        <v>623.39</v>
      </c>
      <c r="CZ77">
        <f>AF77</f>
        <v>80.75</v>
      </c>
      <c r="DA77">
        <f>AJ77</f>
        <v>7.72</v>
      </c>
      <c r="DB77">
        <f t="shared" si="16"/>
        <v>21.8</v>
      </c>
      <c r="DC77">
        <f t="shared" si="17"/>
        <v>0</v>
      </c>
    </row>
    <row r="78" spans="1:107">
      <c r="A78">
        <f>ROW(Source!A89)</f>
        <v>89</v>
      </c>
      <c r="B78">
        <v>47920234</v>
      </c>
      <c r="C78">
        <v>47920804</v>
      </c>
      <c r="D78">
        <v>13559895</v>
      </c>
      <c r="E78">
        <v>1</v>
      </c>
      <c r="F78">
        <v>1</v>
      </c>
      <c r="G78">
        <v>1</v>
      </c>
      <c r="H78">
        <v>3</v>
      </c>
      <c r="I78" t="s">
        <v>541</v>
      </c>
      <c r="J78" t="s">
        <v>542</v>
      </c>
      <c r="K78" t="s">
        <v>543</v>
      </c>
      <c r="L78">
        <v>1348</v>
      </c>
      <c r="N78">
        <v>1009</v>
      </c>
      <c r="O78" t="s">
        <v>337</v>
      </c>
      <c r="P78" t="s">
        <v>337</v>
      </c>
      <c r="Q78">
        <v>1000</v>
      </c>
      <c r="W78">
        <v>0</v>
      </c>
      <c r="X78">
        <v>-1775764276</v>
      </c>
      <c r="Y78">
        <v>6.2E-4</v>
      </c>
      <c r="AA78">
        <v>82605.789999999994</v>
      </c>
      <c r="AB78">
        <v>0</v>
      </c>
      <c r="AC78">
        <v>0</v>
      </c>
      <c r="AD78">
        <v>0</v>
      </c>
      <c r="AE78">
        <v>16039.96</v>
      </c>
      <c r="AF78">
        <v>0</v>
      </c>
      <c r="AG78">
        <v>0</v>
      </c>
      <c r="AH78">
        <v>0</v>
      </c>
      <c r="AI78">
        <v>5.15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6.2E-4</v>
      </c>
      <c r="AU78" t="s">
        <v>3</v>
      </c>
      <c r="AV78">
        <v>0</v>
      </c>
      <c r="AW78">
        <v>2</v>
      </c>
      <c r="AX78">
        <v>47920822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Y78*Source!I89</f>
        <v>1.8599999999999998E-5</v>
      </c>
      <c r="CY78">
        <f>AA78</f>
        <v>82605.789999999994</v>
      </c>
      <c r="CZ78">
        <f>AE78</f>
        <v>16039.96</v>
      </c>
      <c r="DA78">
        <f>AI78</f>
        <v>5.15</v>
      </c>
      <c r="DB78">
        <f>ROUND(ROUND(AT78*CZ78,2),2)</f>
        <v>9.94</v>
      </c>
      <c r="DC78">
        <f>ROUND(ROUND(AT78*AG78,2),2)</f>
        <v>0</v>
      </c>
    </row>
    <row r="79" spans="1:107">
      <c r="A79">
        <f>ROW(Source!A89)</f>
        <v>89</v>
      </c>
      <c r="B79">
        <v>47920234</v>
      </c>
      <c r="C79">
        <v>47920804</v>
      </c>
      <c r="D79">
        <v>13561081</v>
      </c>
      <c r="E79">
        <v>1</v>
      </c>
      <c r="F79">
        <v>1</v>
      </c>
      <c r="G79">
        <v>1</v>
      </c>
      <c r="H79">
        <v>3</v>
      </c>
      <c r="I79" t="s">
        <v>531</v>
      </c>
      <c r="J79" t="s">
        <v>532</v>
      </c>
      <c r="K79" t="s">
        <v>533</v>
      </c>
      <c r="L79">
        <v>1308</v>
      </c>
      <c r="N79">
        <v>1003</v>
      </c>
      <c r="O79" t="s">
        <v>534</v>
      </c>
      <c r="P79" t="s">
        <v>534</v>
      </c>
      <c r="Q79">
        <v>100</v>
      </c>
      <c r="W79">
        <v>0</v>
      </c>
      <c r="X79">
        <v>2010740808</v>
      </c>
      <c r="Y79">
        <v>2.4500000000000001E-2</v>
      </c>
      <c r="AA79">
        <v>594.57000000000005</v>
      </c>
      <c r="AB79">
        <v>0</v>
      </c>
      <c r="AC79">
        <v>0</v>
      </c>
      <c r="AD79">
        <v>0</v>
      </c>
      <c r="AE79">
        <v>115.45</v>
      </c>
      <c r="AF79">
        <v>0</v>
      </c>
      <c r="AG79">
        <v>0</v>
      </c>
      <c r="AH79">
        <v>0</v>
      </c>
      <c r="AI79">
        <v>5.15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2.4500000000000001E-2</v>
      </c>
      <c r="AU79" t="s">
        <v>3</v>
      </c>
      <c r="AV79">
        <v>0</v>
      </c>
      <c r="AW79">
        <v>2</v>
      </c>
      <c r="AX79">
        <v>47920823</v>
      </c>
      <c r="AY79">
        <v>1</v>
      </c>
      <c r="AZ79">
        <v>0</v>
      </c>
      <c r="BA79">
        <v>79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Y79*Source!I89</f>
        <v>7.3499999999999998E-4</v>
      </c>
      <c r="CY79">
        <f>AA79</f>
        <v>594.57000000000005</v>
      </c>
      <c r="CZ79">
        <f>AE79</f>
        <v>115.45</v>
      </c>
      <c r="DA79">
        <f>AI79</f>
        <v>5.15</v>
      </c>
      <c r="DB79">
        <f>ROUND(ROUND(AT79*CZ79,2),2)</f>
        <v>2.83</v>
      </c>
      <c r="DC79">
        <f>ROUND(ROUND(AT79*AG79,2),2)</f>
        <v>0</v>
      </c>
    </row>
    <row r="80" spans="1:107">
      <c r="A80">
        <f>ROW(Source!A89)</f>
        <v>89</v>
      </c>
      <c r="B80">
        <v>47920234</v>
      </c>
      <c r="C80">
        <v>47920804</v>
      </c>
      <c r="D80">
        <v>13583498</v>
      </c>
      <c r="E80">
        <v>1</v>
      </c>
      <c r="F80">
        <v>1</v>
      </c>
      <c r="G80">
        <v>1</v>
      </c>
      <c r="H80">
        <v>3</v>
      </c>
      <c r="I80" t="s">
        <v>535</v>
      </c>
      <c r="J80" t="s">
        <v>536</v>
      </c>
      <c r="K80" t="s">
        <v>537</v>
      </c>
      <c r="L80">
        <v>1348</v>
      </c>
      <c r="N80">
        <v>1009</v>
      </c>
      <c r="O80" t="s">
        <v>337</v>
      </c>
      <c r="P80" t="s">
        <v>337</v>
      </c>
      <c r="Q80">
        <v>1000</v>
      </c>
      <c r="W80">
        <v>0</v>
      </c>
      <c r="X80">
        <v>-1075176237</v>
      </c>
      <c r="Y80">
        <v>7.2000000000000005E-4</v>
      </c>
      <c r="AA80">
        <v>48128.4</v>
      </c>
      <c r="AB80">
        <v>0</v>
      </c>
      <c r="AC80">
        <v>0</v>
      </c>
      <c r="AD80">
        <v>0</v>
      </c>
      <c r="AE80">
        <v>9345.32</v>
      </c>
      <c r="AF80">
        <v>0</v>
      </c>
      <c r="AG80">
        <v>0</v>
      </c>
      <c r="AH80">
        <v>0</v>
      </c>
      <c r="AI80">
        <v>5.15</v>
      </c>
      <c r="AJ80">
        <v>1</v>
      </c>
      <c r="AK80">
        <v>1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7.2000000000000005E-4</v>
      </c>
      <c r="AU80" t="s">
        <v>3</v>
      </c>
      <c r="AV80">
        <v>0</v>
      </c>
      <c r="AW80">
        <v>2</v>
      </c>
      <c r="AX80">
        <v>47920824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Y80*Source!I89</f>
        <v>2.16E-5</v>
      </c>
      <c r="CY80">
        <f>AA80</f>
        <v>48128.4</v>
      </c>
      <c r="CZ80">
        <f>AE80</f>
        <v>9345.32</v>
      </c>
      <c r="DA80">
        <f>AI80</f>
        <v>5.15</v>
      </c>
      <c r="DB80">
        <f>ROUND(ROUND(AT80*CZ80,2),2)</f>
        <v>6.73</v>
      </c>
      <c r="DC80">
        <f>ROUND(ROUND(AT80*AG80,2),2)</f>
        <v>0</v>
      </c>
    </row>
    <row r="81" spans="1:107">
      <c r="A81">
        <f>ROW(Source!A89)</f>
        <v>89</v>
      </c>
      <c r="B81">
        <v>47920234</v>
      </c>
      <c r="C81">
        <v>47920804</v>
      </c>
      <c r="D81">
        <v>13651198</v>
      </c>
      <c r="E81">
        <v>1</v>
      </c>
      <c r="F81">
        <v>1</v>
      </c>
      <c r="G81">
        <v>1</v>
      </c>
      <c r="H81">
        <v>3</v>
      </c>
      <c r="I81" t="s">
        <v>538</v>
      </c>
      <c r="J81" t="s">
        <v>539</v>
      </c>
      <c r="K81" t="s">
        <v>540</v>
      </c>
      <c r="L81">
        <v>1346</v>
      </c>
      <c r="N81">
        <v>1009</v>
      </c>
      <c r="O81" t="s">
        <v>219</v>
      </c>
      <c r="P81" t="s">
        <v>219</v>
      </c>
      <c r="Q81">
        <v>1</v>
      </c>
      <c r="W81">
        <v>0</v>
      </c>
      <c r="X81">
        <v>551678104</v>
      </c>
      <c r="Y81">
        <v>0.25</v>
      </c>
      <c r="AA81">
        <v>338.56</v>
      </c>
      <c r="AB81">
        <v>0</v>
      </c>
      <c r="AC81">
        <v>0</v>
      </c>
      <c r="AD81">
        <v>0</v>
      </c>
      <c r="AE81">
        <v>65.739999999999995</v>
      </c>
      <c r="AF81">
        <v>0</v>
      </c>
      <c r="AG81">
        <v>0</v>
      </c>
      <c r="AH81">
        <v>0</v>
      </c>
      <c r="AI81">
        <v>5.15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</v>
      </c>
      <c r="AT81">
        <v>0.25</v>
      </c>
      <c r="AU81" t="s">
        <v>3</v>
      </c>
      <c r="AV81">
        <v>0</v>
      </c>
      <c r="AW81">
        <v>2</v>
      </c>
      <c r="AX81">
        <v>47920825</v>
      </c>
      <c r="AY81">
        <v>1</v>
      </c>
      <c r="AZ81">
        <v>0</v>
      </c>
      <c r="BA81">
        <v>81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Y81*Source!I89</f>
        <v>7.4999999999999997E-3</v>
      </c>
      <c r="CY81">
        <f>AA81</f>
        <v>338.56</v>
      </c>
      <c r="CZ81">
        <f>AE81</f>
        <v>65.739999999999995</v>
      </c>
      <c r="DA81">
        <f>AI81</f>
        <v>5.15</v>
      </c>
      <c r="DB81">
        <f>ROUND(ROUND(AT81*CZ81,2),2)</f>
        <v>16.440000000000001</v>
      </c>
      <c r="DC81">
        <f>ROUND(ROUND(AT81*AG81,2),2)</f>
        <v>0</v>
      </c>
    </row>
    <row r="82" spans="1:107">
      <c r="A82">
        <f>ROW(Source!A89)</f>
        <v>89</v>
      </c>
      <c r="B82">
        <v>47920234</v>
      </c>
      <c r="C82">
        <v>47920804</v>
      </c>
      <c r="D82">
        <v>13758332</v>
      </c>
      <c r="E82">
        <v>1</v>
      </c>
      <c r="F82">
        <v>1</v>
      </c>
      <c r="G82">
        <v>1</v>
      </c>
      <c r="H82">
        <v>3</v>
      </c>
      <c r="I82" t="s">
        <v>509</v>
      </c>
      <c r="J82" t="s">
        <v>510</v>
      </c>
      <c r="K82" t="s">
        <v>511</v>
      </c>
      <c r="L82">
        <v>1374</v>
      </c>
      <c r="N82">
        <v>1013</v>
      </c>
      <c r="O82" t="s">
        <v>512</v>
      </c>
      <c r="P82" t="s">
        <v>512</v>
      </c>
      <c r="Q82">
        <v>1</v>
      </c>
      <c r="W82">
        <v>0</v>
      </c>
      <c r="X82">
        <v>1723657366</v>
      </c>
      <c r="Y82">
        <v>5.55</v>
      </c>
      <c r="AA82">
        <v>5.15</v>
      </c>
      <c r="AB82">
        <v>0</v>
      </c>
      <c r="AC82">
        <v>0</v>
      </c>
      <c r="AD82">
        <v>0</v>
      </c>
      <c r="AE82">
        <v>1</v>
      </c>
      <c r="AF82">
        <v>0</v>
      </c>
      <c r="AG82">
        <v>0</v>
      </c>
      <c r="AH82">
        <v>0</v>
      </c>
      <c r="AI82">
        <v>5.15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5.55</v>
      </c>
      <c r="AU82" t="s">
        <v>3</v>
      </c>
      <c r="AV82">
        <v>0</v>
      </c>
      <c r="AW82">
        <v>2</v>
      </c>
      <c r="AX82">
        <v>47920826</v>
      </c>
      <c r="AY82">
        <v>1</v>
      </c>
      <c r="AZ82">
        <v>0</v>
      </c>
      <c r="BA82">
        <v>82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Y82*Source!I89</f>
        <v>0.16649999999999998</v>
      </c>
      <c r="CY82">
        <f>AA82</f>
        <v>5.15</v>
      </c>
      <c r="CZ82">
        <f>AE82</f>
        <v>1</v>
      </c>
      <c r="DA82">
        <f>AI82</f>
        <v>5.15</v>
      </c>
      <c r="DB82">
        <f>ROUND(ROUND(AT82*CZ82,2),2)</f>
        <v>5.55</v>
      </c>
      <c r="DC82">
        <f>ROUND(ROUND(AT82*AG82,2),2)</f>
        <v>0</v>
      </c>
    </row>
    <row r="83" spans="1:107">
      <c r="A83">
        <f>ROW(Source!A90)</f>
        <v>90</v>
      </c>
      <c r="B83">
        <v>47920234</v>
      </c>
      <c r="C83">
        <v>47920827</v>
      </c>
      <c r="D83">
        <v>9915120</v>
      </c>
      <c r="E83">
        <v>1</v>
      </c>
      <c r="F83">
        <v>1</v>
      </c>
      <c r="G83">
        <v>1</v>
      </c>
      <c r="H83">
        <v>1</v>
      </c>
      <c r="I83" t="s">
        <v>507</v>
      </c>
      <c r="J83" t="s">
        <v>3</v>
      </c>
      <c r="K83" t="s">
        <v>508</v>
      </c>
      <c r="L83">
        <v>1191</v>
      </c>
      <c r="N83">
        <v>1013</v>
      </c>
      <c r="O83" t="s">
        <v>460</v>
      </c>
      <c r="P83" t="s">
        <v>460</v>
      </c>
      <c r="Q83">
        <v>1</v>
      </c>
      <c r="W83">
        <v>0</v>
      </c>
      <c r="X83">
        <v>1028592258</v>
      </c>
      <c r="Y83">
        <v>13.824000000000002</v>
      </c>
      <c r="AA83">
        <v>0</v>
      </c>
      <c r="AB83">
        <v>0</v>
      </c>
      <c r="AC83">
        <v>0</v>
      </c>
      <c r="AD83">
        <v>270.5</v>
      </c>
      <c r="AE83">
        <v>0</v>
      </c>
      <c r="AF83">
        <v>0</v>
      </c>
      <c r="AG83">
        <v>0</v>
      </c>
      <c r="AH83">
        <v>9.35</v>
      </c>
      <c r="AI83">
        <v>1</v>
      </c>
      <c r="AJ83">
        <v>1</v>
      </c>
      <c r="AK83">
        <v>1</v>
      </c>
      <c r="AL83">
        <v>28.93</v>
      </c>
      <c r="AN83">
        <v>0</v>
      </c>
      <c r="AO83">
        <v>1</v>
      </c>
      <c r="AP83">
        <v>1</v>
      </c>
      <c r="AQ83">
        <v>0</v>
      </c>
      <c r="AR83">
        <v>0</v>
      </c>
      <c r="AS83" t="s">
        <v>3</v>
      </c>
      <c r="AT83">
        <v>10.24</v>
      </c>
      <c r="AU83" t="s">
        <v>188</v>
      </c>
      <c r="AV83">
        <v>1</v>
      </c>
      <c r="AW83">
        <v>2</v>
      </c>
      <c r="AX83">
        <v>47920838</v>
      </c>
      <c r="AY83">
        <v>1</v>
      </c>
      <c r="AZ83">
        <v>0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Y83*Source!I90</f>
        <v>0.82944000000000007</v>
      </c>
      <c r="CY83">
        <f>AD83</f>
        <v>270.5</v>
      </c>
      <c r="CZ83">
        <f>AH83</f>
        <v>9.35</v>
      </c>
      <c r="DA83">
        <f>AL83</f>
        <v>28.93</v>
      </c>
      <c r="DB83">
        <f t="shared" ref="DB83:DB88" si="18">ROUND((ROUND(AT83*CZ83,2)*ROUND(1.35,7)),2)</f>
        <v>129.25</v>
      </c>
      <c r="DC83">
        <f t="shared" ref="DC83:DC88" si="19">ROUND((ROUND(AT83*AG83,2)*ROUND(1.35,7)),2)</f>
        <v>0</v>
      </c>
    </row>
    <row r="84" spans="1:107">
      <c r="A84">
        <f>ROW(Source!A90)</f>
        <v>90</v>
      </c>
      <c r="B84">
        <v>47920234</v>
      </c>
      <c r="C84">
        <v>47920827</v>
      </c>
      <c r="D84">
        <v>121548</v>
      </c>
      <c r="E84">
        <v>1</v>
      </c>
      <c r="F84">
        <v>1</v>
      </c>
      <c r="G84">
        <v>1</v>
      </c>
      <c r="H84">
        <v>1</v>
      </c>
      <c r="I84" t="s">
        <v>26</v>
      </c>
      <c r="J84" t="s">
        <v>3</v>
      </c>
      <c r="K84" t="s">
        <v>461</v>
      </c>
      <c r="L84">
        <v>608254</v>
      </c>
      <c r="N84">
        <v>1013</v>
      </c>
      <c r="O84" t="s">
        <v>462</v>
      </c>
      <c r="P84" t="s">
        <v>462</v>
      </c>
      <c r="Q84">
        <v>1</v>
      </c>
      <c r="W84">
        <v>0</v>
      </c>
      <c r="X84">
        <v>-185737400</v>
      </c>
      <c r="Y84">
        <v>0.27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1</v>
      </c>
      <c r="AJ84">
        <v>1</v>
      </c>
      <c r="AK84">
        <v>28.93</v>
      </c>
      <c r="AL84">
        <v>1</v>
      </c>
      <c r="AN84">
        <v>0</v>
      </c>
      <c r="AO84">
        <v>1</v>
      </c>
      <c r="AP84">
        <v>1</v>
      </c>
      <c r="AQ84">
        <v>0</v>
      </c>
      <c r="AR84">
        <v>0</v>
      </c>
      <c r="AS84" t="s">
        <v>3</v>
      </c>
      <c r="AT84">
        <v>0.2</v>
      </c>
      <c r="AU84" t="s">
        <v>188</v>
      </c>
      <c r="AV84">
        <v>2</v>
      </c>
      <c r="AW84">
        <v>2</v>
      </c>
      <c r="AX84">
        <v>47920839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Y84*Source!I90</f>
        <v>1.6199999999999999E-2</v>
      </c>
      <c r="CY84">
        <f>AD84</f>
        <v>0</v>
      </c>
      <c r="CZ84">
        <f>AH84</f>
        <v>0</v>
      </c>
      <c r="DA84">
        <f>AL84</f>
        <v>1</v>
      </c>
      <c r="DB84">
        <f t="shared" si="18"/>
        <v>0</v>
      </c>
      <c r="DC84">
        <f t="shared" si="19"/>
        <v>0</v>
      </c>
    </row>
    <row r="85" spans="1:107">
      <c r="A85">
        <f>ROW(Source!A90)</f>
        <v>90</v>
      </c>
      <c r="B85">
        <v>47920234</v>
      </c>
      <c r="C85">
        <v>47920827</v>
      </c>
      <c r="D85">
        <v>13554551</v>
      </c>
      <c r="E85">
        <v>1</v>
      </c>
      <c r="F85">
        <v>1</v>
      </c>
      <c r="G85">
        <v>1</v>
      </c>
      <c r="H85">
        <v>2</v>
      </c>
      <c r="I85" t="s">
        <v>513</v>
      </c>
      <c r="J85" t="s">
        <v>514</v>
      </c>
      <c r="K85" t="s">
        <v>515</v>
      </c>
      <c r="L85">
        <v>1368</v>
      </c>
      <c r="N85">
        <v>1011</v>
      </c>
      <c r="O85" t="s">
        <v>468</v>
      </c>
      <c r="P85" t="s">
        <v>468</v>
      </c>
      <c r="Q85">
        <v>1</v>
      </c>
      <c r="W85">
        <v>0</v>
      </c>
      <c r="X85">
        <v>2102783</v>
      </c>
      <c r="Y85">
        <v>0.27</v>
      </c>
      <c r="AA85">
        <v>0</v>
      </c>
      <c r="AB85">
        <v>1209.8800000000001</v>
      </c>
      <c r="AC85">
        <v>379.56</v>
      </c>
      <c r="AD85">
        <v>0</v>
      </c>
      <c r="AE85">
        <v>0</v>
      </c>
      <c r="AF85">
        <v>156.72</v>
      </c>
      <c r="AG85">
        <v>13.12</v>
      </c>
      <c r="AH85">
        <v>0</v>
      </c>
      <c r="AI85">
        <v>1</v>
      </c>
      <c r="AJ85">
        <v>7.72</v>
      </c>
      <c r="AK85">
        <v>28.93</v>
      </c>
      <c r="AL85">
        <v>1</v>
      </c>
      <c r="AN85">
        <v>0</v>
      </c>
      <c r="AO85">
        <v>1</v>
      </c>
      <c r="AP85">
        <v>1</v>
      </c>
      <c r="AQ85">
        <v>0</v>
      </c>
      <c r="AR85">
        <v>0</v>
      </c>
      <c r="AS85" t="s">
        <v>3</v>
      </c>
      <c r="AT85">
        <v>0.2</v>
      </c>
      <c r="AU85" t="s">
        <v>188</v>
      </c>
      <c r="AV85">
        <v>0</v>
      </c>
      <c r="AW85">
        <v>2</v>
      </c>
      <c r="AX85">
        <v>47920840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Y85*Source!I90</f>
        <v>1.6199999999999999E-2</v>
      </c>
      <c r="CY85">
        <f>AB85</f>
        <v>1209.8800000000001</v>
      </c>
      <c r="CZ85">
        <f>AF85</f>
        <v>156.72</v>
      </c>
      <c r="DA85">
        <f>AJ85</f>
        <v>7.72</v>
      </c>
      <c r="DB85">
        <f t="shared" si="18"/>
        <v>42.31</v>
      </c>
      <c r="DC85">
        <f t="shared" si="19"/>
        <v>3.54</v>
      </c>
    </row>
    <row r="86" spans="1:107">
      <c r="A86">
        <f>ROW(Source!A90)</f>
        <v>90</v>
      </c>
      <c r="B86">
        <v>47920234</v>
      </c>
      <c r="C86">
        <v>47920827</v>
      </c>
      <c r="D86">
        <v>13554657</v>
      </c>
      <c r="E86">
        <v>1</v>
      </c>
      <c r="F86">
        <v>1</v>
      </c>
      <c r="G86">
        <v>1</v>
      </c>
      <c r="H86">
        <v>2</v>
      </c>
      <c r="I86" t="s">
        <v>516</v>
      </c>
      <c r="J86" t="s">
        <v>517</v>
      </c>
      <c r="K86" t="s">
        <v>518</v>
      </c>
      <c r="L86">
        <v>1368</v>
      </c>
      <c r="N86">
        <v>1011</v>
      </c>
      <c r="O86" t="s">
        <v>468</v>
      </c>
      <c r="P86" t="s">
        <v>468</v>
      </c>
      <c r="Q86">
        <v>1</v>
      </c>
      <c r="W86">
        <v>0</v>
      </c>
      <c r="X86">
        <v>-1862098278</v>
      </c>
      <c r="Y86">
        <v>3.0105</v>
      </c>
      <c r="AA86">
        <v>0</v>
      </c>
      <c r="AB86">
        <v>20.84</v>
      </c>
      <c r="AC86">
        <v>0</v>
      </c>
      <c r="AD86">
        <v>0</v>
      </c>
      <c r="AE86">
        <v>0</v>
      </c>
      <c r="AF86">
        <v>2.7</v>
      </c>
      <c r="AG86">
        <v>0</v>
      </c>
      <c r="AH86">
        <v>0</v>
      </c>
      <c r="AI86">
        <v>1</v>
      </c>
      <c r="AJ86">
        <v>7.72</v>
      </c>
      <c r="AK86">
        <v>28.93</v>
      </c>
      <c r="AL86">
        <v>1</v>
      </c>
      <c r="AN86">
        <v>0</v>
      </c>
      <c r="AO86">
        <v>1</v>
      </c>
      <c r="AP86">
        <v>1</v>
      </c>
      <c r="AQ86">
        <v>0</v>
      </c>
      <c r="AR86">
        <v>0</v>
      </c>
      <c r="AS86" t="s">
        <v>3</v>
      </c>
      <c r="AT86">
        <v>2.23</v>
      </c>
      <c r="AU86" t="s">
        <v>188</v>
      </c>
      <c r="AV86">
        <v>0</v>
      </c>
      <c r="AW86">
        <v>2</v>
      </c>
      <c r="AX86">
        <v>47920841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Y86*Source!I90</f>
        <v>0.18062999999999999</v>
      </c>
      <c r="CY86">
        <f>AB86</f>
        <v>20.84</v>
      </c>
      <c r="CZ86">
        <f>AF86</f>
        <v>2.7</v>
      </c>
      <c r="DA86">
        <f>AJ86</f>
        <v>7.72</v>
      </c>
      <c r="DB86">
        <f t="shared" si="18"/>
        <v>8.1300000000000008</v>
      </c>
      <c r="DC86">
        <f t="shared" si="19"/>
        <v>0</v>
      </c>
    </row>
    <row r="87" spans="1:107">
      <c r="A87">
        <f>ROW(Source!A90)</f>
        <v>90</v>
      </c>
      <c r="B87">
        <v>47920234</v>
      </c>
      <c r="C87">
        <v>47920827</v>
      </c>
      <c r="D87">
        <v>13554676</v>
      </c>
      <c r="E87">
        <v>1</v>
      </c>
      <c r="F87">
        <v>1</v>
      </c>
      <c r="G87">
        <v>1</v>
      </c>
      <c r="H87">
        <v>2</v>
      </c>
      <c r="I87" t="s">
        <v>519</v>
      </c>
      <c r="J87" t="s">
        <v>520</v>
      </c>
      <c r="K87" t="s">
        <v>521</v>
      </c>
      <c r="L87">
        <v>1368</v>
      </c>
      <c r="N87">
        <v>1011</v>
      </c>
      <c r="O87" t="s">
        <v>468</v>
      </c>
      <c r="P87" t="s">
        <v>468</v>
      </c>
      <c r="Q87">
        <v>1</v>
      </c>
      <c r="W87">
        <v>0</v>
      </c>
      <c r="X87">
        <v>1315153015</v>
      </c>
      <c r="Y87">
        <v>3.0105</v>
      </c>
      <c r="AA87">
        <v>0</v>
      </c>
      <c r="AB87">
        <v>89.86</v>
      </c>
      <c r="AC87">
        <v>0</v>
      </c>
      <c r="AD87">
        <v>0</v>
      </c>
      <c r="AE87">
        <v>0</v>
      </c>
      <c r="AF87">
        <v>11.64</v>
      </c>
      <c r="AG87">
        <v>0</v>
      </c>
      <c r="AH87">
        <v>0</v>
      </c>
      <c r="AI87">
        <v>1</v>
      </c>
      <c r="AJ87">
        <v>7.72</v>
      </c>
      <c r="AK87">
        <v>28.93</v>
      </c>
      <c r="AL87">
        <v>1</v>
      </c>
      <c r="AN87">
        <v>0</v>
      </c>
      <c r="AO87">
        <v>1</v>
      </c>
      <c r="AP87">
        <v>1</v>
      </c>
      <c r="AQ87">
        <v>0</v>
      </c>
      <c r="AR87">
        <v>0</v>
      </c>
      <c r="AS87" t="s">
        <v>3</v>
      </c>
      <c r="AT87">
        <v>2.23</v>
      </c>
      <c r="AU87" t="s">
        <v>188</v>
      </c>
      <c r="AV87">
        <v>0</v>
      </c>
      <c r="AW87">
        <v>2</v>
      </c>
      <c r="AX87">
        <v>47920842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Y87*Source!I90</f>
        <v>0.18062999999999999</v>
      </c>
      <c r="CY87">
        <f>AB87</f>
        <v>89.86</v>
      </c>
      <c r="CZ87">
        <f>AF87</f>
        <v>11.64</v>
      </c>
      <c r="DA87">
        <f>AJ87</f>
        <v>7.72</v>
      </c>
      <c r="DB87">
        <f t="shared" si="18"/>
        <v>35.049999999999997</v>
      </c>
      <c r="DC87">
        <f t="shared" si="19"/>
        <v>0</v>
      </c>
    </row>
    <row r="88" spans="1:107">
      <c r="A88">
        <f>ROW(Source!A90)</f>
        <v>90</v>
      </c>
      <c r="B88">
        <v>47920234</v>
      </c>
      <c r="C88">
        <v>47920827</v>
      </c>
      <c r="D88">
        <v>13556983</v>
      </c>
      <c r="E88">
        <v>1</v>
      </c>
      <c r="F88">
        <v>1</v>
      </c>
      <c r="G88">
        <v>1</v>
      </c>
      <c r="H88">
        <v>2</v>
      </c>
      <c r="I88" t="s">
        <v>489</v>
      </c>
      <c r="J88" t="s">
        <v>490</v>
      </c>
      <c r="K88" t="s">
        <v>491</v>
      </c>
      <c r="L88">
        <v>1368</v>
      </c>
      <c r="N88">
        <v>1011</v>
      </c>
      <c r="O88" t="s">
        <v>468</v>
      </c>
      <c r="P88" t="s">
        <v>468</v>
      </c>
      <c r="Q88">
        <v>1</v>
      </c>
      <c r="W88">
        <v>0</v>
      </c>
      <c r="X88">
        <v>1849659131</v>
      </c>
      <c r="Y88">
        <v>0.27</v>
      </c>
      <c r="AA88">
        <v>0</v>
      </c>
      <c r="AB88">
        <v>623.39</v>
      </c>
      <c r="AC88">
        <v>0</v>
      </c>
      <c r="AD88">
        <v>0</v>
      </c>
      <c r="AE88">
        <v>0</v>
      </c>
      <c r="AF88">
        <v>80.75</v>
      </c>
      <c r="AG88">
        <v>0</v>
      </c>
      <c r="AH88">
        <v>0</v>
      </c>
      <c r="AI88">
        <v>1</v>
      </c>
      <c r="AJ88">
        <v>7.72</v>
      </c>
      <c r="AK88">
        <v>28.93</v>
      </c>
      <c r="AL88">
        <v>1</v>
      </c>
      <c r="AN88">
        <v>0</v>
      </c>
      <c r="AO88">
        <v>1</v>
      </c>
      <c r="AP88">
        <v>1</v>
      </c>
      <c r="AQ88">
        <v>0</v>
      </c>
      <c r="AR88">
        <v>0</v>
      </c>
      <c r="AS88" t="s">
        <v>3</v>
      </c>
      <c r="AT88">
        <v>0.2</v>
      </c>
      <c r="AU88" t="s">
        <v>188</v>
      </c>
      <c r="AV88">
        <v>0</v>
      </c>
      <c r="AW88">
        <v>2</v>
      </c>
      <c r="AX88">
        <v>47920843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Y88*Source!I90</f>
        <v>1.6199999999999999E-2</v>
      </c>
      <c r="CY88">
        <f>AB88</f>
        <v>623.39</v>
      </c>
      <c r="CZ88">
        <f>AF88</f>
        <v>80.75</v>
      </c>
      <c r="DA88">
        <f>AJ88</f>
        <v>7.72</v>
      </c>
      <c r="DB88">
        <f t="shared" si="18"/>
        <v>21.8</v>
      </c>
      <c r="DC88">
        <f t="shared" si="19"/>
        <v>0</v>
      </c>
    </row>
    <row r="89" spans="1:107">
      <c r="A89">
        <f>ROW(Source!A90)</f>
        <v>90</v>
      </c>
      <c r="B89">
        <v>47920234</v>
      </c>
      <c r="C89">
        <v>47920827</v>
      </c>
      <c r="D89">
        <v>13561081</v>
      </c>
      <c r="E89">
        <v>1</v>
      </c>
      <c r="F89">
        <v>1</v>
      </c>
      <c r="G89">
        <v>1</v>
      </c>
      <c r="H89">
        <v>3</v>
      </c>
      <c r="I89" t="s">
        <v>531</v>
      </c>
      <c r="J89" t="s">
        <v>532</v>
      </c>
      <c r="K89" t="s">
        <v>533</v>
      </c>
      <c r="L89">
        <v>1308</v>
      </c>
      <c r="N89">
        <v>1003</v>
      </c>
      <c r="O89" t="s">
        <v>534</v>
      </c>
      <c r="P89" t="s">
        <v>534</v>
      </c>
      <c r="Q89">
        <v>100</v>
      </c>
      <c r="W89">
        <v>0</v>
      </c>
      <c r="X89">
        <v>2010740808</v>
      </c>
      <c r="Y89">
        <v>9.6000000000000002E-2</v>
      </c>
      <c r="AA89">
        <v>594.57000000000005</v>
      </c>
      <c r="AB89">
        <v>0</v>
      </c>
      <c r="AC89">
        <v>0</v>
      </c>
      <c r="AD89">
        <v>0</v>
      </c>
      <c r="AE89">
        <v>115.45</v>
      </c>
      <c r="AF89">
        <v>0</v>
      </c>
      <c r="AG89">
        <v>0</v>
      </c>
      <c r="AH89">
        <v>0</v>
      </c>
      <c r="AI89">
        <v>5.15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9.6000000000000002E-2</v>
      </c>
      <c r="AU89" t="s">
        <v>3</v>
      </c>
      <c r="AV89">
        <v>0</v>
      </c>
      <c r="AW89">
        <v>2</v>
      </c>
      <c r="AX89">
        <v>47920844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Y89*Source!I90</f>
        <v>5.7599999999999995E-3</v>
      </c>
      <c r="CY89">
        <f>AA89</f>
        <v>594.57000000000005</v>
      </c>
      <c r="CZ89">
        <f>AE89</f>
        <v>115.45</v>
      </c>
      <c r="DA89">
        <f>AI89</f>
        <v>5.15</v>
      </c>
      <c r="DB89">
        <f>ROUND(ROUND(AT89*CZ89,2),2)</f>
        <v>11.08</v>
      </c>
      <c r="DC89">
        <f>ROUND(ROUND(AT89*AG89,2),2)</f>
        <v>0</v>
      </c>
    </row>
    <row r="90" spans="1:107">
      <c r="A90">
        <f>ROW(Source!A90)</f>
        <v>90</v>
      </c>
      <c r="B90">
        <v>47920234</v>
      </c>
      <c r="C90">
        <v>47920827</v>
      </c>
      <c r="D90">
        <v>13583498</v>
      </c>
      <c r="E90">
        <v>1</v>
      </c>
      <c r="F90">
        <v>1</v>
      </c>
      <c r="G90">
        <v>1</v>
      </c>
      <c r="H90">
        <v>3</v>
      </c>
      <c r="I90" t="s">
        <v>535</v>
      </c>
      <c r="J90" t="s">
        <v>536</v>
      </c>
      <c r="K90" t="s">
        <v>537</v>
      </c>
      <c r="L90">
        <v>1348</v>
      </c>
      <c r="N90">
        <v>1009</v>
      </c>
      <c r="O90" t="s">
        <v>337</v>
      </c>
      <c r="P90" t="s">
        <v>337</v>
      </c>
      <c r="Q90">
        <v>1000</v>
      </c>
      <c r="W90">
        <v>0</v>
      </c>
      <c r="X90">
        <v>-1075176237</v>
      </c>
      <c r="Y90">
        <v>6.0000000000000002E-5</v>
      </c>
      <c r="AA90">
        <v>48128.4</v>
      </c>
      <c r="AB90">
        <v>0</v>
      </c>
      <c r="AC90">
        <v>0</v>
      </c>
      <c r="AD90">
        <v>0</v>
      </c>
      <c r="AE90">
        <v>9345.32</v>
      </c>
      <c r="AF90">
        <v>0</v>
      </c>
      <c r="AG90">
        <v>0</v>
      </c>
      <c r="AH90">
        <v>0</v>
      </c>
      <c r="AI90">
        <v>5.15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6.0000000000000002E-5</v>
      </c>
      <c r="AU90" t="s">
        <v>3</v>
      </c>
      <c r="AV90">
        <v>0</v>
      </c>
      <c r="AW90">
        <v>2</v>
      </c>
      <c r="AX90">
        <v>47920845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Y90*Source!I90</f>
        <v>3.5999999999999998E-6</v>
      </c>
      <c r="CY90">
        <f>AA90</f>
        <v>48128.4</v>
      </c>
      <c r="CZ90">
        <f>AE90</f>
        <v>9345.32</v>
      </c>
      <c r="DA90">
        <f>AI90</f>
        <v>5.15</v>
      </c>
      <c r="DB90">
        <f>ROUND(ROUND(AT90*CZ90,2),2)</f>
        <v>0.56000000000000005</v>
      </c>
      <c r="DC90">
        <f>ROUND(ROUND(AT90*AG90,2),2)</f>
        <v>0</v>
      </c>
    </row>
    <row r="91" spans="1:107">
      <c r="A91">
        <f>ROW(Source!A90)</f>
        <v>90</v>
      </c>
      <c r="B91">
        <v>47920234</v>
      </c>
      <c r="C91">
        <v>47920827</v>
      </c>
      <c r="D91">
        <v>13651198</v>
      </c>
      <c r="E91">
        <v>1</v>
      </c>
      <c r="F91">
        <v>1</v>
      </c>
      <c r="G91">
        <v>1</v>
      </c>
      <c r="H91">
        <v>3</v>
      </c>
      <c r="I91" t="s">
        <v>538</v>
      </c>
      <c r="J91" t="s">
        <v>539</v>
      </c>
      <c r="K91" t="s">
        <v>540</v>
      </c>
      <c r="L91">
        <v>1346</v>
      </c>
      <c r="N91">
        <v>1009</v>
      </c>
      <c r="O91" t="s">
        <v>219</v>
      </c>
      <c r="P91" t="s">
        <v>219</v>
      </c>
      <c r="Q91">
        <v>1</v>
      </c>
      <c r="W91">
        <v>0</v>
      </c>
      <c r="X91">
        <v>551678104</v>
      </c>
      <c r="Y91">
        <v>0.5</v>
      </c>
      <c r="AA91">
        <v>338.56</v>
      </c>
      <c r="AB91">
        <v>0</v>
      </c>
      <c r="AC91">
        <v>0</v>
      </c>
      <c r="AD91">
        <v>0</v>
      </c>
      <c r="AE91">
        <v>65.739999999999995</v>
      </c>
      <c r="AF91">
        <v>0</v>
      </c>
      <c r="AG91">
        <v>0</v>
      </c>
      <c r="AH91">
        <v>0</v>
      </c>
      <c r="AI91">
        <v>5.15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0.5</v>
      </c>
      <c r="AU91" t="s">
        <v>3</v>
      </c>
      <c r="AV91">
        <v>0</v>
      </c>
      <c r="AW91">
        <v>2</v>
      </c>
      <c r="AX91">
        <v>47920846</v>
      </c>
      <c r="AY91">
        <v>1</v>
      </c>
      <c r="AZ91">
        <v>0</v>
      </c>
      <c r="BA91">
        <v>91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Y91*Source!I90</f>
        <v>0.03</v>
      </c>
      <c r="CY91">
        <f>AA91</f>
        <v>338.56</v>
      </c>
      <c r="CZ91">
        <f>AE91</f>
        <v>65.739999999999995</v>
      </c>
      <c r="DA91">
        <f>AI91</f>
        <v>5.15</v>
      </c>
      <c r="DB91">
        <f>ROUND(ROUND(AT91*CZ91,2),2)</f>
        <v>32.869999999999997</v>
      </c>
      <c r="DC91">
        <f>ROUND(ROUND(AT91*AG91,2),2)</f>
        <v>0</v>
      </c>
    </row>
    <row r="92" spans="1:107">
      <c r="A92">
        <f>ROW(Source!A90)</f>
        <v>90</v>
      </c>
      <c r="B92">
        <v>47920234</v>
      </c>
      <c r="C92">
        <v>47920827</v>
      </c>
      <c r="D92">
        <v>13758332</v>
      </c>
      <c r="E92">
        <v>1</v>
      </c>
      <c r="F92">
        <v>1</v>
      </c>
      <c r="G92">
        <v>1</v>
      </c>
      <c r="H92">
        <v>3</v>
      </c>
      <c r="I92" t="s">
        <v>509</v>
      </c>
      <c r="J92" t="s">
        <v>510</v>
      </c>
      <c r="K92" t="s">
        <v>511</v>
      </c>
      <c r="L92">
        <v>1374</v>
      </c>
      <c r="N92">
        <v>1013</v>
      </c>
      <c r="O92" t="s">
        <v>512</v>
      </c>
      <c r="P92" t="s">
        <v>512</v>
      </c>
      <c r="Q92">
        <v>1</v>
      </c>
      <c r="W92">
        <v>0</v>
      </c>
      <c r="X92">
        <v>1723657366</v>
      </c>
      <c r="Y92">
        <v>1.91</v>
      </c>
      <c r="AA92">
        <v>5.15</v>
      </c>
      <c r="AB92">
        <v>0</v>
      </c>
      <c r="AC92">
        <v>0</v>
      </c>
      <c r="AD92">
        <v>0</v>
      </c>
      <c r="AE92">
        <v>1</v>
      </c>
      <c r="AF92">
        <v>0</v>
      </c>
      <c r="AG92">
        <v>0</v>
      </c>
      <c r="AH92">
        <v>0</v>
      </c>
      <c r="AI92">
        <v>5.15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3</v>
      </c>
      <c r="AT92">
        <v>1.91</v>
      </c>
      <c r="AU92" t="s">
        <v>3</v>
      </c>
      <c r="AV92">
        <v>0</v>
      </c>
      <c r="AW92">
        <v>2</v>
      </c>
      <c r="AX92">
        <v>47920847</v>
      </c>
      <c r="AY92">
        <v>1</v>
      </c>
      <c r="AZ92">
        <v>0</v>
      </c>
      <c r="BA92">
        <v>92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Y92*Source!I90</f>
        <v>0.11459999999999999</v>
      </c>
      <c r="CY92">
        <f>AA92</f>
        <v>5.15</v>
      </c>
      <c r="CZ92">
        <f>AE92</f>
        <v>1</v>
      </c>
      <c r="DA92">
        <f>AI92</f>
        <v>5.15</v>
      </c>
      <c r="DB92">
        <f>ROUND(ROUND(AT92*CZ92,2),2)</f>
        <v>1.91</v>
      </c>
      <c r="DC92">
        <f>ROUND(ROUND(AT92*AG92,2),2)</f>
        <v>0</v>
      </c>
    </row>
    <row r="93" spans="1:107">
      <c r="A93">
        <f>ROW(Source!A91)</f>
        <v>91</v>
      </c>
      <c r="B93">
        <v>47920234</v>
      </c>
      <c r="C93">
        <v>47920848</v>
      </c>
      <c r="D93">
        <v>9915120</v>
      </c>
      <c r="E93">
        <v>1</v>
      </c>
      <c r="F93">
        <v>1</v>
      </c>
      <c r="G93">
        <v>1</v>
      </c>
      <c r="H93">
        <v>1</v>
      </c>
      <c r="I93" t="s">
        <v>507</v>
      </c>
      <c r="J93" t="s">
        <v>3</v>
      </c>
      <c r="K93" t="s">
        <v>508</v>
      </c>
      <c r="L93">
        <v>1191</v>
      </c>
      <c r="N93">
        <v>1013</v>
      </c>
      <c r="O93" t="s">
        <v>460</v>
      </c>
      <c r="P93" t="s">
        <v>460</v>
      </c>
      <c r="Q93">
        <v>1</v>
      </c>
      <c r="W93">
        <v>0</v>
      </c>
      <c r="X93">
        <v>1028592258</v>
      </c>
      <c r="Y93">
        <v>1.7010000000000001</v>
      </c>
      <c r="AA93">
        <v>0</v>
      </c>
      <c r="AB93">
        <v>0</v>
      </c>
      <c r="AC93">
        <v>0</v>
      </c>
      <c r="AD93">
        <v>270.5</v>
      </c>
      <c r="AE93">
        <v>0</v>
      </c>
      <c r="AF93">
        <v>0</v>
      </c>
      <c r="AG93">
        <v>0</v>
      </c>
      <c r="AH93">
        <v>9.35</v>
      </c>
      <c r="AI93">
        <v>1</v>
      </c>
      <c r="AJ93">
        <v>1</v>
      </c>
      <c r="AK93">
        <v>1</v>
      </c>
      <c r="AL93">
        <v>28.93</v>
      </c>
      <c r="AN93">
        <v>0</v>
      </c>
      <c r="AO93">
        <v>1</v>
      </c>
      <c r="AP93">
        <v>1</v>
      </c>
      <c r="AQ93">
        <v>0</v>
      </c>
      <c r="AR93">
        <v>0</v>
      </c>
      <c r="AS93" t="s">
        <v>3</v>
      </c>
      <c r="AT93">
        <v>1.26</v>
      </c>
      <c r="AU93" t="s">
        <v>188</v>
      </c>
      <c r="AV93">
        <v>1</v>
      </c>
      <c r="AW93">
        <v>2</v>
      </c>
      <c r="AX93">
        <v>47920852</v>
      </c>
      <c r="AY93">
        <v>1</v>
      </c>
      <c r="AZ93">
        <v>0</v>
      </c>
      <c r="BA93">
        <v>93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Y93*Source!I91</f>
        <v>0.10206</v>
      </c>
      <c r="CY93">
        <f>AD93</f>
        <v>270.5</v>
      </c>
      <c r="CZ93">
        <f>AH93</f>
        <v>9.35</v>
      </c>
      <c r="DA93">
        <f>AL93</f>
        <v>28.93</v>
      </c>
      <c r="DB93">
        <f>ROUND((ROUND(AT93*CZ93,2)*ROUND(1.35,7)),2)</f>
        <v>15.9</v>
      </c>
      <c r="DC93">
        <f>ROUND((ROUND(AT93*AG93,2)*ROUND(1.35,7)),2)</f>
        <v>0</v>
      </c>
    </row>
    <row r="94" spans="1:107">
      <c r="A94">
        <f>ROW(Source!A91)</f>
        <v>91</v>
      </c>
      <c r="B94">
        <v>47920234</v>
      </c>
      <c r="C94">
        <v>47920848</v>
      </c>
      <c r="D94">
        <v>121548</v>
      </c>
      <c r="E94">
        <v>1</v>
      </c>
      <c r="F94">
        <v>1</v>
      </c>
      <c r="G94">
        <v>1</v>
      </c>
      <c r="H94">
        <v>1</v>
      </c>
      <c r="I94" t="s">
        <v>26</v>
      </c>
      <c r="J94" t="s">
        <v>3</v>
      </c>
      <c r="K94" t="s">
        <v>461</v>
      </c>
      <c r="L94">
        <v>608254</v>
      </c>
      <c r="N94">
        <v>1013</v>
      </c>
      <c r="O94" t="s">
        <v>462</v>
      </c>
      <c r="P94" t="s">
        <v>462</v>
      </c>
      <c r="Q94">
        <v>1</v>
      </c>
      <c r="W94">
        <v>0</v>
      </c>
      <c r="X94">
        <v>-185737400</v>
      </c>
      <c r="Y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28.93</v>
      </c>
      <c r="AL94">
        <v>1</v>
      </c>
      <c r="AN94">
        <v>0</v>
      </c>
      <c r="AO94">
        <v>1</v>
      </c>
      <c r="AP94">
        <v>1</v>
      </c>
      <c r="AQ94">
        <v>0</v>
      </c>
      <c r="AR94">
        <v>0</v>
      </c>
      <c r="AS94" t="s">
        <v>3</v>
      </c>
      <c r="AT94">
        <v>0</v>
      </c>
      <c r="AU94" t="s">
        <v>188</v>
      </c>
      <c r="AV94">
        <v>2</v>
      </c>
      <c r="AW94">
        <v>2</v>
      </c>
      <c r="AX94">
        <v>47920853</v>
      </c>
      <c r="AY94">
        <v>1</v>
      </c>
      <c r="AZ94">
        <v>0</v>
      </c>
      <c r="BA94">
        <v>94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Y94*Source!I91</f>
        <v>0</v>
      </c>
      <c r="CY94">
        <f>AD94</f>
        <v>0</v>
      </c>
      <c r="CZ94">
        <f>AH94</f>
        <v>0</v>
      </c>
      <c r="DA94">
        <f>AL94</f>
        <v>1</v>
      </c>
      <c r="DB94">
        <f>ROUND((ROUND(AT94*CZ94,2)*ROUND(1.35,7)),2)</f>
        <v>0</v>
      </c>
      <c r="DC94">
        <f>ROUND((ROUND(AT94*AG94,2)*ROUND(1.35,7)),2)</f>
        <v>0</v>
      </c>
    </row>
    <row r="95" spans="1:107">
      <c r="A95">
        <f>ROW(Source!A91)</f>
        <v>91</v>
      </c>
      <c r="B95">
        <v>47920234</v>
      </c>
      <c r="C95">
        <v>47920848</v>
      </c>
      <c r="D95">
        <v>13758332</v>
      </c>
      <c r="E95">
        <v>1</v>
      </c>
      <c r="F95">
        <v>1</v>
      </c>
      <c r="G95">
        <v>1</v>
      </c>
      <c r="H95">
        <v>3</v>
      </c>
      <c r="I95" t="s">
        <v>509</v>
      </c>
      <c r="J95" t="s">
        <v>510</v>
      </c>
      <c r="K95" t="s">
        <v>511</v>
      </c>
      <c r="L95">
        <v>1374</v>
      </c>
      <c r="N95">
        <v>1013</v>
      </c>
      <c r="O95" t="s">
        <v>512</v>
      </c>
      <c r="P95" t="s">
        <v>512</v>
      </c>
      <c r="Q95">
        <v>1</v>
      </c>
      <c r="W95">
        <v>0</v>
      </c>
      <c r="X95">
        <v>1723657366</v>
      </c>
      <c r="Y95">
        <v>0.24</v>
      </c>
      <c r="AA95">
        <v>5.15</v>
      </c>
      <c r="AB95">
        <v>0</v>
      </c>
      <c r="AC95">
        <v>0</v>
      </c>
      <c r="AD95">
        <v>0</v>
      </c>
      <c r="AE95">
        <v>1</v>
      </c>
      <c r="AF95">
        <v>0</v>
      </c>
      <c r="AG95">
        <v>0</v>
      </c>
      <c r="AH95">
        <v>0</v>
      </c>
      <c r="AI95">
        <v>5.15</v>
      </c>
      <c r="AJ95">
        <v>1</v>
      </c>
      <c r="AK95">
        <v>1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3</v>
      </c>
      <c r="AT95">
        <v>0.24</v>
      </c>
      <c r="AU95" t="s">
        <v>3</v>
      </c>
      <c r="AV95">
        <v>0</v>
      </c>
      <c r="AW95">
        <v>2</v>
      </c>
      <c r="AX95">
        <v>47920854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Y95*Source!I91</f>
        <v>1.44E-2</v>
      </c>
      <c r="CY95">
        <f>AA95</f>
        <v>5.15</v>
      </c>
      <c r="CZ95">
        <f>AE95</f>
        <v>1</v>
      </c>
      <c r="DA95">
        <f>AI95</f>
        <v>5.15</v>
      </c>
      <c r="DB95">
        <f>ROUND(ROUND(AT95*CZ95,2),2)</f>
        <v>0.24</v>
      </c>
      <c r="DC95">
        <f>ROUND(ROUND(AT95*AG95,2),2)</f>
        <v>0</v>
      </c>
    </row>
    <row r="96" spans="1:107">
      <c r="A96">
        <f>ROW(Source!A92)</f>
        <v>92</v>
      </c>
      <c r="B96">
        <v>47920234</v>
      </c>
      <c r="C96">
        <v>47920855</v>
      </c>
      <c r="D96">
        <v>9915120</v>
      </c>
      <c r="E96">
        <v>1</v>
      </c>
      <c r="F96">
        <v>1</v>
      </c>
      <c r="G96">
        <v>1</v>
      </c>
      <c r="H96">
        <v>1</v>
      </c>
      <c r="I96" t="s">
        <v>507</v>
      </c>
      <c r="J96" t="s">
        <v>3</v>
      </c>
      <c r="K96" t="s">
        <v>508</v>
      </c>
      <c r="L96">
        <v>1191</v>
      </c>
      <c r="N96">
        <v>1013</v>
      </c>
      <c r="O96" t="s">
        <v>460</v>
      </c>
      <c r="P96" t="s">
        <v>460</v>
      </c>
      <c r="Q96">
        <v>1</v>
      </c>
      <c r="W96">
        <v>0</v>
      </c>
      <c r="X96">
        <v>1028592258</v>
      </c>
      <c r="Y96">
        <v>7.2900000000000009</v>
      </c>
      <c r="AA96">
        <v>0</v>
      </c>
      <c r="AB96">
        <v>0</v>
      </c>
      <c r="AC96">
        <v>0</v>
      </c>
      <c r="AD96">
        <v>270.5</v>
      </c>
      <c r="AE96">
        <v>0</v>
      </c>
      <c r="AF96">
        <v>0</v>
      </c>
      <c r="AG96">
        <v>0</v>
      </c>
      <c r="AH96">
        <v>9.35</v>
      </c>
      <c r="AI96">
        <v>1</v>
      </c>
      <c r="AJ96">
        <v>1</v>
      </c>
      <c r="AK96">
        <v>1</v>
      </c>
      <c r="AL96">
        <v>28.93</v>
      </c>
      <c r="AN96">
        <v>0</v>
      </c>
      <c r="AO96">
        <v>1</v>
      </c>
      <c r="AP96">
        <v>1</v>
      </c>
      <c r="AQ96">
        <v>0</v>
      </c>
      <c r="AR96">
        <v>0</v>
      </c>
      <c r="AS96" t="s">
        <v>3</v>
      </c>
      <c r="AT96">
        <v>5.4</v>
      </c>
      <c r="AU96" t="s">
        <v>188</v>
      </c>
      <c r="AV96">
        <v>1</v>
      </c>
      <c r="AW96">
        <v>2</v>
      </c>
      <c r="AX96">
        <v>47921851</v>
      </c>
      <c r="AY96">
        <v>1</v>
      </c>
      <c r="AZ96">
        <v>0</v>
      </c>
      <c r="BA96">
        <v>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Y96*Source!I92</f>
        <v>14.580000000000002</v>
      </c>
      <c r="CY96">
        <f>AD96</f>
        <v>270.5</v>
      </c>
      <c r="CZ96">
        <f>AH96</f>
        <v>9.35</v>
      </c>
      <c r="DA96">
        <f>AL96</f>
        <v>28.93</v>
      </c>
      <c r="DB96">
        <f>ROUND((ROUND(AT96*CZ96,2)*ROUND(1.35,7)),2)</f>
        <v>68.16</v>
      </c>
      <c r="DC96">
        <f>ROUND((ROUND(AT96*AG96,2)*ROUND(1.35,7)),2)</f>
        <v>0</v>
      </c>
    </row>
    <row r="97" spans="1:107">
      <c r="A97">
        <f>ROW(Source!A92)</f>
        <v>92</v>
      </c>
      <c r="B97">
        <v>47920234</v>
      </c>
      <c r="C97">
        <v>47920855</v>
      </c>
      <c r="D97">
        <v>121548</v>
      </c>
      <c r="E97">
        <v>1</v>
      </c>
      <c r="F97">
        <v>1</v>
      </c>
      <c r="G97">
        <v>1</v>
      </c>
      <c r="H97">
        <v>1</v>
      </c>
      <c r="I97" t="s">
        <v>26</v>
      </c>
      <c r="J97" t="s">
        <v>3</v>
      </c>
      <c r="K97" t="s">
        <v>461</v>
      </c>
      <c r="L97">
        <v>608254</v>
      </c>
      <c r="N97">
        <v>1013</v>
      </c>
      <c r="O97" t="s">
        <v>462</v>
      </c>
      <c r="P97" t="s">
        <v>462</v>
      </c>
      <c r="Q97">
        <v>1</v>
      </c>
      <c r="W97">
        <v>0</v>
      </c>
      <c r="X97">
        <v>-185737400</v>
      </c>
      <c r="Y97">
        <v>5.7645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1</v>
      </c>
      <c r="AJ97">
        <v>1</v>
      </c>
      <c r="AK97">
        <v>28.93</v>
      </c>
      <c r="AL97">
        <v>1</v>
      </c>
      <c r="AN97">
        <v>0</v>
      </c>
      <c r="AO97">
        <v>1</v>
      </c>
      <c r="AP97">
        <v>1</v>
      </c>
      <c r="AQ97">
        <v>0</v>
      </c>
      <c r="AR97">
        <v>0</v>
      </c>
      <c r="AS97" t="s">
        <v>3</v>
      </c>
      <c r="AT97">
        <v>4.2699999999999996</v>
      </c>
      <c r="AU97" t="s">
        <v>188</v>
      </c>
      <c r="AV97">
        <v>2</v>
      </c>
      <c r="AW97">
        <v>2</v>
      </c>
      <c r="AX97">
        <v>47921852</v>
      </c>
      <c r="AY97">
        <v>1</v>
      </c>
      <c r="AZ97">
        <v>0</v>
      </c>
      <c r="BA97">
        <v>97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Y97*Source!I92</f>
        <v>11.529</v>
      </c>
      <c r="CY97">
        <f>AD97</f>
        <v>0</v>
      </c>
      <c r="CZ97">
        <f>AH97</f>
        <v>0</v>
      </c>
      <c r="DA97">
        <f>AL97</f>
        <v>1</v>
      </c>
      <c r="DB97">
        <f>ROUND((ROUND(AT97*CZ97,2)*ROUND(1.35,7)),2)</f>
        <v>0</v>
      </c>
      <c r="DC97">
        <f>ROUND((ROUND(AT97*AG97,2)*ROUND(1.35,7)),2)</f>
        <v>0</v>
      </c>
    </row>
    <row r="98" spans="1:107">
      <c r="A98">
        <f>ROW(Source!A92)</f>
        <v>92</v>
      </c>
      <c r="B98">
        <v>47920234</v>
      </c>
      <c r="C98">
        <v>47920855</v>
      </c>
      <c r="D98">
        <v>13554731</v>
      </c>
      <c r="E98">
        <v>1</v>
      </c>
      <c r="F98">
        <v>1</v>
      </c>
      <c r="G98">
        <v>1</v>
      </c>
      <c r="H98">
        <v>2</v>
      </c>
      <c r="I98" t="s">
        <v>544</v>
      </c>
      <c r="J98" t="s">
        <v>545</v>
      </c>
      <c r="K98" t="s">
        <v>546</v>
      </c>
      <c r="L98">
        <v>1368</v>
      </c>
      <c r="N98">
        <v>1011</v>
      </c>
      <c r="O98" t="s">
        <v>468</v>
      </c>
      <c r="P98" t="s">
        <v>468</v>
      </c>
      <c r="Q98">
        <v>1</v>
      </c>
      <c r="W98">
        <v>0</v>
      </c>
      <c r="X98">
        <v>-782755685</v>
      </c>
      <c r="Y98">
        <v>5.7645</v>
      </c>
      <c r="AA98">
        <v>0</v>
      </c>
      <c r="AB98">
        <v>1352.62</v>
      </c>
      <c r="AC98">
        <v>379.56</v>
      </c>
      <c r="AD98">
        <v>0</v>
      </c>
      <c r="AE98">
        <v>0</v>
      </c>
      <c r="AF98">
        <v>175.21</v>
      </c>
      <c r="AG98">
        <v>13.12</v>
      </c>
      <c r="AH98">
        <v>0</v>
      </c>
      <c r="AI98">
        <v>1</v>
      </c>
      <c r="AJ98">
        <v>7.72</v>
      </c>
      <c r="AK98">
        <v>28.93</v>
      </c>
      <c r="AL98">
        <v>1</v>
      </c>
      <c r="AN98">
        <v>0</v>
      </c>
      <c r="AO98">
        <v>1</v>
      </c>
      <c r="AP98">
        <v>1</v>
      </c>
      <c r="AQ98">
        <v>0</v>
      </c>
      <c r="AR98">
        <v>0</v>
      </c>
      <c r="AS98" t="s">
        <v>3</v>
      </c>
      <c r="AT98">
        <v>4.2699999999999996</v>
      </c>
      <c r="AU98" t="s">
        <v>188</v>
      </c>
      <c r="AV98">
        <v>0</v>
      </c>
      <c r="AW98">
        <v>2</v>
      </c>
      <c r="AX98">
        <v>47921853</v>
      </c>
      <c r="AY98">
        <v>1</v>
      </c>
      <c r="AZ98">
        <v>0</v>
      </c>
      <c r="BA98">
        <v>98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Y98*Source!I92</f>
        <v>11.529</v>
      </c>
      <c r="CY98">
        <f>AB98</f>
        <v>1352.62</v>
      </c>
      <c r="CZ98">
        <f>AF98</f>
        <v>175.21</v>
      </c>
      <c r="DA98">
        <f>AJ98</f>
        <v>7.72</v>
      </c>
      <c r="DB98">
        <f>ROUND((ROUND(AT98*CZ98,2)*ROUND(1.35,7)),2)</f>
        <v>1010</v>
      </c>
      <c r="DC98">
        <f>ROUND((ROUND(AT98*AG98,2)*ROUND(1.35,7)),2)</f>
        <v>75.63</v>
      </c>
    </row>
    <row r="99" spans="1:107">
      <c r="A99">
        <f>ROW(Source!A92)</f>
        <v>92</v>
      </c>
      <c r="B99">
        <v>47920234</v>
      </c>
      <c r="C99">
        <v>47920855</v>
      </c>
      <c r="D99">
        <v>13557920</v>
      </c>
      <c r="E99">
        <v>1</v>
      </c>
      <c r="F99">
        <v>1</v>
      </c>
      <c r="G99">
        <v>1</v>
      </c>
      <c r="H99">
        <v>3</v>
      </c>
      <c r="I99" t="s">
        <v>547</v>
      </c>
      <c r="J99" t="s">
        <v>548</v>
      </c>
      <c r="K99" t="s">
        <v>549</v>
      </c>
      <c r="L99">
        <v>1348</v>
      </c>
      <c r="N99">
        <v>1009</v>
      </c>
      <c r="O99" t="s">
        <v>337</v>
      </c>
      <c r="P99" t="s">
        <v>337</v>
      </c>
      <c r="Q99">
        <v>1000</v>
      </c>
      <c r="W99">
        <v>0</v>
      </c>
      <c r="X99">
        <v>2084223003</v>
      </c>
      <c r="Y99">
        <v>4.0000000000000002E-4</v>
      </c>
      <c r="AA99">
        <v>30778.46</v>
      </c>
      <c r="AB99">
        <v>0</v>
      </c>
      <c r="AC99">
        <v>0</v>
      </c>
      <c r="AD99">
        <v>0</v>
      </c>
      <c r="AE99">
        <v>5976.4</v>
      </c>
      <c r="AF99">
        <v>0</v>
      </c>
      <c r="AG99">
        <v>0</v>
      </c>
      <c r="AH99">
        <v>0</v>
      </c>
      <c r="AI99">
        <v>5.15</v>
      </c>
      <c r="AJ99">
        <v>1</v>
      </c>
      <c r="AK99">
        <v>1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3</v>
      </c>
      <c r="AT99">
        <v>4.0000000000000002E-4</v>
      </c>
      <c r="AU99" t="s">
        <v>3</v>
      </c>
      <c r="AV99">
        <v>0</v>
      </c>
      <c r="AW99">
        <v>2</v>
      </c>
      <c r="AX99">
        <v>47921854</v>
      </c>
      <c r="AY99">
        <v>1</v>
      </c>
      <c r="AZ99">
        <v>0</v>
      </c>
      <c r="BA99">
        <v>99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Y99*Source!I92</f>
        <v>8.0000000000000004E-4</v>
      </c>
      <c r="CY99">
        <f>AA99</f>
        <v>30778.46</v>
      </c>
      <c r="CZ99">
        <f>AE99</f>
        <v>5976.4</v>
      </c>
      <c r="DA99">
        <f>AI99</f>
        <v>5.15</v>
      </c>
      <c r="DB99">
        <f>ROUND(ROUND(AT99*CZ99,2),2)</f>
        <v>2.39</v>
      </c>
      <c r="DC99">
        <f>ROUND(ROUND(AT99*AG99,2),2)</f>
        <v>0</v>
      </c>
    </row>
    <row r="100" spans="1:107">
      <c r="A100">
        <f>ROW(Source!A92)</f>
        <v>92</v>
      </c>
      <c r="B100">
        <v>47920234</v>
      </c>
      <c r="C100">
        <v>47920855</v>
      </c>
      <c r="D100">
        <v>13561081</v>
      </c>
      <c r="E100">
        <v>1</v>
      </c>
      <c r="F100">
        <v>1</v>
      </c>
      <c r="G100">
        <v>1</v>
      </c>
      <c r="H100">
        <v>3</v>
      </c>
      <c r="I100" t="s">
        <v>531</v>
      </c>
      <c r="J100" t="s">
        <v>532</v>
      </c>
      <c r="K100" t="s">
        <v>533</v>
      </c>
      <c r="L100">
        <v>1308</v>
      </c>
      <c r="N100">
        <v>1003</v>
      </c>
      <c r="O100" t="s">
        <v>534</v>
      </c>
      <c r="P100" t="s">
        <v>534</v>
      </c>
      <c r="Q100">
        <v>100</v>
      </c>
      <c r="W100">
        <v>0</v>
      </c>
      <c r="X100">
        <v>2010740808</v>
      </c>
      <c r="Y100">
        <v>2.3999999999999998E-3</v>
      </c>
      <c r="AA100">
        <v>594.57000000000005</v>
      </c>
      <c r="AB100">
        <v>0</v>
      </c>
      <c r="AC100">
        <v>0</v>
      </c>
      <c r="AD100">
        <v>0</v>
      </c>
      <c r="AE100">
        <v>115.45</v>
      </c>
      <c r="AF100">
        <v>0</v>
      </c>
      <c r="AG100">
        <v>0</v>
      </c>
      <c r="AH100">
        <v>0</v>
      </c>
      <c r="AI100">
        <v>5.15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3</v>
      </c>
      <c r="AT100">
        <v>2.3999999999999998E-3</v>
      </c>
      <c r="AU100" t="s">
        <v>3</v>
      </c>
      <c r="AV100">
        <v>0</v>
      </c>
      <c r="AW100">
        <v>2</v>
      </c>
      <c r="AX100">
        <v>47921855</v>
      </c>
      <c r="AY100">
        <v>1</v>
      </c>
      <c r="AZ100">
        <v>0</v>
      </c>
      <c r="BA100">
        <v>100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Y100*Source!I92</f>
        <v>4.7999999999999996E-3</v>
      </c>
      <c r="CY100">
        <f>AA100</f>
        <v>594.57000000000005</v>
      </c>
      <c r="CZ100">
        <f>AE100</f>
        <v>115.45</v>
      </c>
      <c r="DA100">
        <f>AI100</f>
        <v>5.15</v>
      </c>
      <c r="DB100">
        <f>ROUND(ROUND(AT100*CZ100,2),2)</f>
        <v>0.28000000000000003</v>
      </c>
      <c r="DC100">
        <f>ROUND(ROUND(AT100*AG100,2),2)</f>
        <v>0</v>
      </c>
    </row>
    <row r="101" spans="1:107">
      <c r="A101">
        <f>ROW(Source!A92)</f>
        <v>92</v>
      </c>
      <c r="B101">
        <v>47920234</v>
      </c>
      <c r="C101">
        <v>47920855</v>
      </c>
      <c r="D101">
        <v>13663275</v>
      </c>
      <c r="E101">
        <v>1</v>
      </c>
      <c r="F101">
        <v>1</v>
      </c>
      <c r="G101">
        <v>1</v>
      </c>
      <c r="H101">
        <v>3</v>
      </c>
      <c r="I101" t="s">
        <v>550</v>
      </c>
      <c r="J101" t="s">
        <v>551</v>
      </c>
      <c r="K101" t="s">
        <v>552</v>
      </c>
      <c r="L101">
        <v>1348</v>
      </c>
      <c r="N101">
        <v>1009</v>
      </c>
      <c r="O101" t="s">
        <v>337</v>
      </c>
      <c r="P101" t="s">
        <v>337</v>
      </c>
      <c r="Q101">
        <v>1000</v>
      </c>
      <c r="W101">
        <v>0</v>
      </c>
      <c r="X101">
        <v>1138560716</v>
      </c>
      <c r="Y101">
        <v>1.0000000000000001E-5</v>
      </c>
      <c r="AA101">
        <v>49842.83</v>
      </c>
      <c r="AB101">
        <v>0</v>
      </c>
      <c r="AC101">
        <v>0</v>
      </c>
      <c r="AD101">
        <v>0</v>
      </c>
      <c r="AE101">
        <v>9678.2199999999993</v>
      </c>
      <c r="AF101">
        <v>0</v>
      </c>
      <c r="AG101">
        <v>0</v>
      </c>
      <c r="AH101">
        <v>0</v>
      </c>
      <c r="AI101">
        <v>5.15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S101" t="s">
        <v>3</v>
      </c>
      <c r="AT101">
        <v>1.0000000000000001E-5</v>
      </c>
      <c r="AU101" t="s">
        <v>3</v>
      </c>
      <c r="AV101">
        <v>0</v>
      </c>
      <c r="AW101">
        <v>2</v>
      </c>
      <c r="AX101">
        <v>47921856</v>
      </c>
      <c r="AY101">
        <v>1</v>
      </c>
      <c r="AZ101">
        <v>0</v>
      </c>
      <c r="BA101">
        <v>101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Y101*Source!I92</f>
        <v>2.0000000000000002E-5</v>
      </c>
      <c r="CY101">
        <f>AA101</f>
        <v>49842.83</v>
      </c>
      <c r="CZ101">
        <f>AE101</f>
        <v>9678.2199999999993</v>
      </c>
      <c r="DA101">
        <f>AI101</f>
        <v>5.15</v>
      </c>
      <c r="DB101">
        <f>ROUND(ROUND(AT101*CZ101,2),2)</f>
        <v>0.1</v>
      </c>
      <c r="DC101">
        <f>ROUND(ROUND(AT101*AG101,2),2)</f>
        <v>0</v>
      </c>
    </row>
    <row r="102" spans="1:107">
      <c r="A102">
        <f>ROW(Source!A92)</f>
        <v>92</v>
      </c>
      <c r="B102">
        <v>47920234</v>
      </c>
      <c r="C102">
        <v>47920855</v>
      </c>
      <c r="D102">
        <v>13758332</v>
      </c>
      <c r="E102">
        <v>1</v>
      </c>
      <c r="F102">
        <v>1</v>
      </c>
      <c r="G102">
        <v>1</v>
      </c>
      <c r="H102">
        <v>3</v>
      </c>
      <c r="I102" t="s">
        <v>509</v>
      </c>
      <c r="J102" t="s">
        <v>510</v>
      </c>
      <c r="K102" t="s">
        <v>511</v>
      </c>
      <c r="L102">
        <v>1374</v>
      </c>
      <c r="N102">
        <v>1013</v>
      </c>
      <c r="O102" t="s">
        <v>512</v>
      </c>
      <c r="P102" t="s">
        <v>512</v>
      </c>
      <c r="Q102">
        <v>1</v>
      </c>
      <c r="W102">
        <v>0</v>
      </c>
      <c r="X102">
        <v>1723657366</v>
      </c>
      <c r="Y102">
        <v>1.01</v>
      </c>
      <c r="AA102">
        <v>5.15</v>
      </c>
      <c r="AB102">
        <v>0</v>
      </c>
      <c r="AC102">
        <v>0</v>
      </c>
      <c r="AD102">
        <v>0</v>
      </c>
      <c r="AE102">
        <v>1</v>
      </c>
      <c r="AF102">
        <v>0</v>
      </c>
      <c r="AG102">
        <v>0</v>
      </c>
      <c r="AH102">
        <v>0</v>
      </c>
      <c r="AI102">
        <v>5.15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S102" t="s">
        <v>3</v>
      </c>
      <c r="AT102">
        <v>1.01</v>
      </c>
      <c r="AU102" t="s">
        <v>3</v>
      </c>
      <c r="AV102">
        <v>0</v>
      </c>
      <c r="AW102">
        <v>2</v>
      </c>
      <c r="AX102">
        <v>47921857</v>
      </c>
      <c r="AY102">
        <v>1</v>
      </c>
      <c r="AZ102">
        <v>0</v>
      </c>
      <c r="BA102">
        <v>102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Y102*Source!I92</f>
        <v>2.02</v>
      </c>
      <c r="CY102">
        <f>AA102</f>
        <v>5.15</v>
      </c>
      <c r="CZ102">
        <f>AE102</f>
        <v>1</v>
      </c>
      <c r="DA102">
        <f>AI102</f>
        <v>5.15</v>
      </c>
      <c r="DB102">
        <f>ROUND(ROUND(AT102*CZ102,2),2)</f>
        <v>1.01</v>
      </c>
      <c r="DC102">
        <f>ROUND(ROUND(AT102*AG102,2),2)</f>
        <v>0</v>
      </c>
    </row>
    <row r="103" spans="1:107">
      <c r="A103">
        <f>ROW(Source!A93)</f>
        <v>93</v>
      </c>
      <c r="B103">
        <v>47920234</v>
      </c>
      <c r="C103">
        <v>47920870</v>
      </c>
      <c r="D103">
        <v>9915120</v>
      </c>
      <c r="E103">
        <v>1</v>
      </c>
      <c r="F103">
        <v>1</v>
      </c>
      <c r="G103">
        <v>1</v>
      </c>
      <c r="H103">
        <v>1</v>
      </c>
      <c r="I103" t="s">
        <v>507</v>
      </c>
      <c r="J103" t="s">
        <v>3</v>
      </c>
      <c r="K103" t="s">
        <v>508</v>
      </c>
      <c r="L103">
        <v>1191</v>
      </c>
      <c r="N103">
        <v>1013</v>
      </c>
      <c r="O103" t="s">
        <v>460</v>
      </c>
      <c r="P103" t="s">
        <v>460</v>
      </c>
      <c r="Q103">
        <v>1</v>
      </c>
      <c r="W103">
        <v>0</v>
      </c>
      <c r="X103">
        <v>1028592258</v>
      </c>
      <c r="Y103">
        <v>30.672000000000001</v>
      </c>
      <c r="AA103">
        <v>0</v>
      </c>
      <c r="AB103">
        <v>0</v>
      </c>
      <c r="AC103">
        <v>0</v>
      </c>
      <c r="AD103">
        <v>270.5</v>
      </c>
      <c r="AE103">
        <v>0</v>
      </c>
      <c r="AF103">
        <v>0</v>
      </c>
      <c r="AG103">
        <v>0</v>
      </c>
      <c r="AH103">
        <v>9.35</v>
      </c>
      <c r="AI103">
        <v>1</v>
      </c>
      <c r="AJ103">
        <v>1</v>
      </c>
      <c r="AK103">
        <v>1</v>
      </c>
      <c r="AL103">
        <v>28.93</v>
      </c>
      <c r="AN103">
        <v>0</v>
      </c>
      <c r="AO103">
        <v>1</v>
      </c>
      <c r="AP103">
        <v>1</v>
      </c>
      <c r="AQ103">
        <v>0</v>
      </c>
      <c r="AR103">
        <v>0</v>
      </c>
      <c r="AS103" t="s">
        <v>3</v>
      </c>
      <c r="AT103">
        <v>22.72</v>
      </c>
      <c r="AU103" t="s">
        <v>188</v>
      </c>
      <c r="AV103">
        <v>1</v>
      </c>
      <c r="AW103">
        <v>2</v>
      </c>
      <c r="AX103">
        <v>47920874</v>
      </c>
      <c r="AY103">
        <v>1</v>
      </c>
      <c r="AZ103">
        <v>0</v>
      </c>
      <c r="BA103">
        <v>103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Y103*Source!I93</f>
        <v>2.4537599999999999</v>
      </c>
      <c r="CY103">
        <f>AD103</f>
        <v>270.5</v>
      </c>
      <c r="CZ103">
        <f>AH103</f>
        <v>9.35</v>
      </c>
      <c r="DA103">
        <f>AL103</f>
        <v>28.93</v>
      </c>
      <c r="DB103">
        <f>ROUND((ROUND(AT103*CZ103,2)*ROUND(1.35,7)),2)</f>
        <v>286.77999999999997</v>
      </c>
      <c r="DC103">
        <f>ROUND((ROUND(AT103*AG103,2)*ROUND(1.35,7)),2)</f>
        <v>0</v>
      </c>
    </row>
    <row r="104" spans="1:107">
      <c r="A104">
        <f>ROW(Source!A93)</f>
        <v>93</v>
      </c>
      <c r="B104">
        <v>47920234</v>
      </c>
      <c r="C104">
        <v>47920870</v>
      </c>
      <c r="D104">
        <v>121548</v>
      </c>
      <c r="E104">
        <v>1</v>
      </c>
      <c r="F104">
        <v>1</v>
      </c>
      <c r="G104">
        <v>1</v>
      </c>
      <c r="H104">
        <v>1</v>
      </c>
      <c r="I104" t="s">
        <v>26</v>
      </c>
      <c r="J104" t="s">
        <v>3</v>
      </c>
      <c r="K104" t="s">
        <v>461</v>
      </c>
      <c r="L104">
        <v>608254</v>
      </c>
      <c r="N104">
        <v>1013</v>
      </c>
      <c r="O104" t="s">
        <v>462</v>
      </c>
      <c r="P104" t="s">
        <v>462</v>
      </c>
      <c r="Q104">
        <v>1</v>
      </c>
      <c r="W104">
        <v>0</v>
      </c>
      <c r="X104">
        <v>-185737400</v>
      </c>
      <c r="Y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1</v>
      </c>
      <c r="AJ104">
        <v>1</v>
      </c>
      <c r="AK104">
        <v>28.93</v>
      </c>
      <c r="AL104">
        <v>1</v>
      </c>
      <c r="AN104">
        <v>0</v>
      </c>
      <c r="AO104">
        <v>1</v>
      </c>
      <c r="AP104">
        <v>1</v>
      </c>
      <c r="AQ104">
        <v>0</v>
      </c>
      <c r="AR104">
        <v>0</v>
      </c>
      <c r="AS104" t="s">
        <v>3</v>
      </c>
      <c r="AT104">
        <v>0</v>
      </c>
      <c r="AU104" t="s">
        <v>188</v>
      </c>
      <c r="AV104">
        <v>2</v>
      </c>
      <c r="AW104">
        <v>2</v>
      </c>
      <c r="AX104">
        <v>47920875</v>
      </c>
      <c r="AY104">
        <v>1</v>
      </c>
      <c r="AZ104">
        <v>0</v>
      </c>
      <c r="BA104">
        <v>104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Y104*Source!I93</f>
        <v>0</v>
      </c>
      <c r="CY104">
        <f>AD104</f>
        <v>0</v>
      </c>
      <c r="CZ104">
        <f>AH104</f>
        <v>0</v>
      </c>
      <c r="DA104">
        <f>AL104</f>
        <v>1</v>
      </c>
      <c r="DB104">
        <f>ROUND((ROUND(AT104*CZ104,2)*ROUND(1.35,7)),2)</f>
        <v>0</v>
      </c>
      <c r="DC104">
        <f>ROUND((ROUND(AT104*AG104,2)*ROUND(1.35,7)),2)</f>
        <v>0</v>
      </c>
    </row>
    <row r="105" spans="1:107">
      <c r="A105">
        <f>ROW(Source!A93)</f>
        <v>93</v>
      </c>
      <c r="B105">
        <v>47920234</v>
      </c>
      <c r="C105">
        <v>47920870</v>
      </c>
      <c r="D105">
        <v>13758332</v>
      </c>
      <c r="E105">
        <v>1</v>
      </c>
      <c r="F105">
        <v>1</v>
      </c>
      <c r="G105">
        <v>1</v>
      </c>
      <c r="H105">
        <v>3</v>
      </c>
      <c r="I105" t="s">
        <v>509</v>
      </c>
      <c r="J105" t="s">
        <v>510</v>
      </c>
      <c r="K105" t="s">
        <v>511</v>
      </c>
      <c r="L105">
        <v>1374</v>
      </c>
      <c r="N105">
        <v>1013</v>
      </c>
      <c r="O105" t="s">
        <v>512</v>
      </c>
      <c r="P105" t="s">
        <v>512</v>
      </c>
      <c r="Q105">
        <v>1</v>
      </c>
      <c r="W105">
        <v>0</v>
      </c>
      <c r="X105">
        <v>1723657366</v>
      </c>
      <c r="Y105">
        <v>4.25</v>
      </c>
      <c r="AA105">
        <v>5.15</v>
      </c>
      <c r="AB105">
        <v>0</v>
      </c>
      <c r="AC105">
        <v>0</v>
      </c>
      <c r="AD105">
        <v>0</v>
      </c>
      <c r="AE105">
        <v>1</v>
      </c>
      <c r="AF105">
        <v>0</v>
      </c>
      <c r="AG105">
        <v>0</v>
      </c>
      <c r="AH105">
        <v>0</v>
      </c>
      <c r="AI105">
        <v>5.15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S105" t="s">
        <v>3</v>
      </c>
      <c r="AT105">
        <v>4.25</v>
      </c>
      <c r="AU105" t="s">
        <v>3</v>
      </c>
      <c r="AV105">
        <v>0</v>
      </c>
      <c r="AW105">
        <v>2</v>
      </c>
      <c r="AX105">
        <v>47920876</v>
      </c>
      <c r="AY105">
        <v>1</v>
      </c>
      <c r="AZ105">
        <v>0</v>
      </c>
      <c r="BA105">
        <v>105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Y105*Source!I93</f>
        <v>0.34</v>
      </c>
      <c r="CY105">
        <f>AA105</f>
        <v>5.15</v>
      </c>
      <c r="CZ105">
        <f>AE105</f>
        <v>1</v>
      </c>
      <c r="DA105">
        <f>AI105</f>
        <v>5.15</v>
      </c>
      <c r="DB105">
        <f>ROUND(ROUND(AT105*CZ105,2),2)</f>
        <v>4.25</v>
      </c>
      <c r="DC105">
        <f>ROUND(ROUND(AT105*AG105,2),2)</f>
        <v>0</v>
      </c>
    </row>
    <row r="106" spans="1:107">
      <c r="A106">
        <f>ROW(Source!A94)</f>
        <v>94</v>
      </c>
      <c r="B106">
        <v>47920234</v>
      </c>
      <c r="C106">
        <v>47920877</v>
      </c>
      <c r="D106">
        <v>9915120</v>
      </c>
      <c r="E106">
        <v>1</v>
      </c>
      <c r="F106">
        <v>1</v>
      </c>
      <c r="G106">
        <v>1</v>
      </c>
      <c r="H106">
        <v>1</v>
      </c>
      <c r="I106" t="s">
        <v>507</v>
      </c>
      <c r="J106" t="s">
        <v>3</v>
      </c>
      <c r="K106" t="s">
        <v>508</v>
      </c>
      <c r="L106">
        <v>1191</v>
      </c>
      <c r="N106">
        <v>1013</v>
      </c>
      <c r="O106" t="s">
        <v>460</v>
      </c>
      <c r="P106" t="s">
        <v>460</v>
      </c>
      <c r="Q106">
        <v>1</v>
      </c>
      <c r="W106">
        <v>0</v>
      </c>
      <c r="X106">
        <v>1028592258</v>
      </c>
      <c r="Y106">
        <v>16.339199999999998</v>
      </c>
      <c r="AA106">
        <v>0</v>
      </c>
      <c r="AB106">
        <v>0</v>
      </c>
      <c r="AC106">
        <v>0</v>
      </c>
      <c r="AD106">
        <v>270.5</v>
      </c>
      <c r="AE106">
        <v>0</v>
      </c>
      <c r="AF106">
        <v>0</v>
      </c>
      <c r="AG106">
        <v>0</v>
      </c>
      <c r="AH106">
        <v>9.35</v>
      </c>
      <c r="AI106">
        <v>1</v>
      </c>
      <c r="AJ106">
        <v>1</v>
      </c>
      <c r="AK106">
        <v>1</v>
      </c>
      <c r="AL106">
        <v>28.93</v>
      </c>
      <c r="AN106">
        <v>0</v>
      </c>
      <c r="AO106">
        <v>1</v>
      </c>
      <c r="AP106">
        <v>1</v>
      </c>
      <c r="AQ106">
        <v>0</v>
      </c>
      <c r="AR106">
        <v>0</v>
      </c>
      <c r="AS106" t="s">
        <v>3</v>
      </c>
      <c r="AT106">
        <v>11.84</v>
      </c>
      <c r="AU106" t="s">
        <v>66</v>
      </c>
      <c r="AV106">
        <v>1</v>
      </c>
      <c r="AW106">
        <v>2</v>
      </c>
      <c r="AX106">
        <v>47923621</v>
      </c>
      <c r="AY106">
        <v>1</v>
      </c>
      <c r="AZ106">
        <v>0</v>
      </c>
      <c r="BA106">
        <v>106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Y106*Source!I94</f>
        <v>130.71359999999999</v>
      </c>
      <c r="CY106">
        <f>AD106</f>
        <v>270.5</v>
      </c>
      <c r="CZ106">
        <f>AH106</f>
        <v>9.35</v>
      </c>
      <c r="DA106">
        <f>AL106</f>
        <v>28.93</v>
      </c>
      <c r="DB106">
        <f>ROUND((ROUND(AT106*CZ106,2)*ROUND((1.15*1.2),7)),2)</f>
        <v>152.77000000000001</v>
      </c>
      <c r="DC106">
        <f>ROUND((ROUND(AT106*AG106,2)*ROUND((1.15*1.2),7)),2)</f>
        <v>0</v>
      </c>
    </row>
    <row r="107" spans="1:107">
      <c r="A107">
        <f>ROW(Source!A94)</f>
        <v>94</v>
      </c>
      <c r="B107">
        <v>47920234</v>
      </c>
      <c r="C107">
        <v>47920877</v>
      </c>
      <c r="D107">
        <v>121548</v>
      </c>
      <c r="E107">
        <v>1</v>
      </c>
      <c r="F107">
        <v>1</v>
      </c>
      <c r="G107">
        <v>1</v>
      </c>
      <c r="H107">
        <v>1</v>
      </c>
      <c r="I107" t="s">
        <v>26</v>
      </c>
      <c r="J107" t="s">
        <v>3</v>
      </c>
      <c r="K107" t="s">
        <v>461</v>
      </c>
      <c r="L107">
        <v>608254</v>
      </c>
      <c r="N107">
        <v>1013</v>
      </c>
      <c r="O107" t="s">
        <v>462</v>
      </c>
      <c r="P107" t="s">
        <v>462</v>
      </c>
      <c r="Q107">
        <v>1</v>
      </c>
      <c r="W107">
        <v>0</v>
      </c>
      <c r="X107">
        <v>-185737400</v>
      </c>
      <c r="Y107">
        <v>4.1399999999999992E-2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1</v>
      </c>
      <c r="AJ107">
        <v>1</v>
      </c>
      <c r="AK107">
        <v>28.93</v>
      </c>
      <c r="AL107">
        <v>1</v>
      </c>
      <c r="AN107">
        <v>0</v>
      </c>
      <c r="AO107">
        <v>1</v>
      </c>
      <c r="AP107">
        <v>1</v>
      </c>
      <c r="AQ107">
        <v>0</v>
      </c>
      <c r="AR107">
        <v>0</v>
      </c>
      <c r="AS107" t="s">
        <v>3</v>
      </c>
      <c r="AT107">
        <v>0.03</v>
      </c>
      <c r="AU107" t="s">
        <v>66</v>
      </c>
      <c r="AV107">
        <v>2</v>
      </c>
      <c r="AW107">
        <v>2</v>
      </c>
      <c r="AX107">
        <v>47923622</v>
      </c>
      <c r="AY107">
        <v>1</v>
      </c>
      <c r="AZ107">
        <v>0</v>
      </c>
      <c r="BA107">
        <v>107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Y107*Source!I94</f>
        <v>0.33119999999999994</v>
      </c>
      <c r="CY107">
        <f>AD107</f>
        <v>0</v>
      </c>
      <c r="CZ107">
        <f>AH107</f>
        <v>0</v>
      </c>
      <c r="DA107">
        <f>AL107</f>
        <v>1</v>
      </c>
      <c r="DB107">
        <f>ROUND((ROUND(AT107*CZ107,2)*ROUND((1.15*1.2),7)),2)</f>
        <v>0</v>
      </c>
      <c r="DC107">
        <f>ROUND((ROUND(AT107*AG107,2)*ROUND((1.15*1.2),7)),2)</f>
        <v>0</v>
      </c>
    </row>
    <row r="108" spans="1:107">
      <c r="A108">
        <f>ROW(Source!A94)</f>
        <v>94</v>
      </c>
      <c r="B108">
        <v>47920234</v>
      </c>
      <c r="C108">
        <v>47920877</v>
      </c>
      <c r="D108">
        <v>13554551</v>
      </c>
      <c r="E108">
        <v>1</v>
      </c>
      <c r="F108">
        <v>1</v>
      </c>
      <c r="G108">
        <v>1</v>
      </c>
      <c r="H108">
        <v>2</v>
      </c>
      <c r="I108" t="s">
        <v>513</v>
      </c>
      <c r="J108" t="s">
        <v>514</v>
      </c>
      <c r="K108" t="s">
        <v>515</v>
      </c>
      <c r="L108">
        <v>1368</v>
      </c>
      <c r="N108">
        <v>1011</v>
      </c>
      <c r="O108" t="s">
        <v>468</v>
      </c>
      <c r="P108" t="s">
        <v>468</v>
      </c>
      <c r="Q108">
        <v>1</v>
      </c>
      <c r="W108">
        <v>0</v>
      </c>
      <c r="X108">
        <v>2102783</v>
      </c>
      <c r="Y108">
        <v>4.1399999999999992E-2</v>
      </c>
      <c r="AA108">
        <v>0</v>
      </c>
      <c r="AB108">
        <v>1209.8800000000001</v>
      </c>
      <c r="AC108">
        <v>379.56</v>
      </c>
      <c r="AD108">
        <v>0</v>
      </c>
      <c r="AE108">
        <v>0</v>
      </c>
      <c r="AF108">
        <v>156.72</v>
      </c>
      <c r="AG108">
        <v>13.12</v>
      </c>
      <c r="AH108">
        <v>0</v>
      </c>
      <c r="AI108">
        <v>1</v>
      </c>
      <c r="AJ108">
        <v>7.72</v>
      </c>
      <c r="AK108">
        <v>28.93</v>
      </c>
      <c r="AL108">
        <v>1</v>
      </c>
      <c r="AN108">
        <v>0</v>
      </c>
      <c r="AO108">
        <v>1</v>
      </c>
      <c r="AP108">
        <v>1</v>
      </c>
      <c r="AQ108">
        <v>0</v>
      </c>
      <c r="AR108">
        <v>0</v>
      </c>
      <c r="AS108" t="s">
        <v>3</v>
      </c>
      <c r="AT108">
        <v>0.03</v>
      </c>
      <c r="AU108" t="s">
        <v>66</v>
      </c>
      <c r="AV108">
        <v>0</v>
      </c>
      <c r="AW108">
        <v>2</v>
      </c>
      <c r="AX108">
        <v>47923623</v>
      </c>
      <c r="AY108">
        <v>1</v>
      </c>
      <c r="AZ108">
        <v>0</v>
      </c>
      <c r="BA108">
        <v>108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Y108*Source!I94</f>
        <v>0.33119999999999994</v>
      </c>
      <c r="CY108">
        <f>AB108</f>
        <v>1209.8800000000001</v>
      </c>
      <c r="CZ108">
        <f>AF108</f>
        <v>156.72</v>
      </c>
      <c r="DA108">
        <f>AJ108</f>
        <v>7.72</v>
      </c>
      <c r="DB108">
        <f>ROUND((ROUND(AT108*CZ108,2)*ROUND((1.15*1.2),7)),2)</f>
        <v>6.49</v>
      </c>
      <c r="DC108">
        <f>ROUND((ROUND(AT108*AG108,2)*ROUND((1.15*1.2),7)),2)</f>
        <v>0.54</v>
      </c>
    </row>
    <row r="109" spans="1:107">
      <c r="A109">
        <f>ROW(Source!A94)</f>
        <v>94</v>
      </c>
      <c r="B109">
        <v>47920234</v>
      </c>
      <c r="C109">
        <v>47920877</v>
      </c>
      <c r="D109">
        <v>13556983</v>
      </c>
      <c r="E109">
        <v>1</v>
      </c>
      <c r="F109">
        <v>1</v>
      </c>
      <c r="G109">
        <v>1</v>
      </c>
      <c r="H109">
        <v>2</v>
      </c>
      <c r="I109" t="s">
        <v>489</v>
      </c>
      <c r="J109" t="s">
        <v>490</v>
      </c>
      <c r="K109" t="s">
        <v>491</v>
      </c>
      <c r="L109">
        <v>1368</v>
      </c>
      <c r="N109">
        <v>1011</v>
      </c>
      <c r="O109" t="s">
        <v>468</v>
      </c>
      <c r="P109" t="s">
        <v>468</v>
      </c>
      <c r="Q109">
        <v>1</v>
      </c>
      <c r="W109">
        <v>0</v>
      </c>
      <c r="X109">
        <v>1849659131</v>
      </c>
      <c r="Y109">
        <v>4.1399999999999992E-2</v>
      </c>
      <c r="AA109">
        <v>0</v>
      </c>
      <c r="AB109">
        <v>623.39</v>
      </c>
      <c r="AC109">
        <v>0</v>
      </c>
      <c r="AD109">
        <v>0</v>
      </c>
      <c r="AE109">
        <v>0</v>
      </c>
      <c r="AF109">
        <v>80.75</v>
      </c>
      <c r="AG109">
        <v>0</v>
      </c>
      <c r="AH109">
        <v>0</v>
      </c>
      <c r="AI109">
        <v>1</v>
      </c>
      <c r="AJ109">
        <v>7.72</v>
      </c>
      <c r="AK109">
        <v>28.93</v>
      </c>
      <c r="AL109">
        <v>1</v>
      </c>
      <c r="AN109">
        <v>0</v>
      </c>
      <c r="AO109">
        <v>1</v>
      </c>
      <c r="AP109">
        <v>1</v>
      </c>
      <c r="AQ109">
        <v>0</v>
      </c>
      <c r="AR109">
        <v>0</v>
      </c>
      <c r="AS109" t="s">
        <v>3</v>
      </c>
      <c r="AT109">
        <v>0.03</v>
      </c>
      <c r="AU109" t="s">
        <v>66</v>
      </c>
      <c r="AV109">
        <v>0</v>
      </c>
      <c r="AW109">
        <v>2</v>
      </c>
      <c r="AX109">
        <v>47923624</v>
      </c>
      <c r="AY109">
        <v>1</v>
      </c>
      <c r="AZ109">
        <v>0</v>
      </c>
      <c r="BA109">
        <v>109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Y109*Source!I94</f>
        <v>0.33119999999999994</v>
      </c>
      <c r="CY109">
        <f>AB109</f>
        <v>623.39</v>
      </c>
      <c r="CZ109">
        <f>AF109</f>
        <v>80.75</v>
      </c>
      <c r="DA109">
        <f>AJ109</f>
        <v>7.72</v>
      </c>
      <c r="DB109">
        <f>ROUND((ROUND(AT109*CZ109,2)*ROUND((1.15*1.2),7)),2)</f>
        <v>3.34</v>
      </c>
      <c r="DC109">
        <f>ROUND((ROUND(AT109*AG109,2)*ROUND((1.15*1.2),7)),2)</f>
        <v>0</v>
      </c>
    </row>
    <row r="110" spans="1:107">
      <c r="A110">
        <f>ROW(Source!A94)</f>
        <v>94</v>
      </c>
      <c r="B110">
        <v>47920234</v>
      </c>
      <c r="C110">
        <v>47920877</v>
      </c>
      <c r="D110">
        <v>13557920</v>
      </c>
      <c r="E110">
        <v>1</v>
      </c>
      <c r="F110">
        <v>1</v>
      </c>
      <c r="G110">
        <v>1</v>
      </c>
      <c r="H110">
        <v>3</v>
      </c>
      <c r="I110" t="s">
        <v>547</v>
      </c>
      <c r="J110" t="s">
        <v>548</v>
      </c>
      <c r="K110" t="s">
        <v>549</v>
      </c>
      <c r="L110">
        <v>1348</v>
      </c>
      <c r="N110">
        <v>1009</v>
      </c>
      <c r="O110" t="s">
        <v>337</v>
      </c>
      <c r="P110" t="s">
        <v>337</v>
      </c>
      <c r="Q110">
        <v>1000</v>
      </c>
      <c r="W110">
        <v>0</v>
      </c>
      <c r="X110">
        <v>2084223003</v>
      </c>
      <c r="Y110">
        <v>8.0000000000000004E-4</v>
      </c>
      <c r="AA110">
        <v>30778.46</v>
      </c>
      <c r="AB110">
        <v>0</v>
      </c>
      <c r="AC110">
        <v>0</v>
      </c>
      <c r="AD110">
        <v>0</v>
      </c>
      <c r="AE110">
        <v>5976.4</v>
      </c>
      <c r="AF110">
        <v>0</v>
      </c>
      <c r="AG110">
        <v>0</v>
      </c>
      <c r="AH110">
        <v>0</v>
      </c>
      <c r="AI110">
        <v>5.15</v>
      </c>
      <c r="AJ110">
        <v>1</v>
      </c>
      <c r="AK110">
        <v>1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S110" t="s">
        <v>3</v>
      </c>
      <c r="AT110">
        <v>8.0000000000000004E-4</v>
      </c>
      <c r="AU110" t="s">
        <v>3</v>
      </c>
      <c r="AV110">
        <v>0</v>
      </c>
      <c r="AW110">
        <v>2</v>
      </c>
      <c r="AX110">
        <v>47923625</v>
      </c>
      <c r="AY110">
        <v>1</v>
      </c>
      <c r="AZ110">
        <v>0</v>
      </c>
      <c r="BA110">
        <v>110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Y110*Source!I94</f>
        <v>6.4000000000000003E-3</v>
      </c>
      <c r="CY110">
        <f>AA110</f>
        <v>30778.46</v>
      </c>
      <c r="CZ110">
        <f>AE110</f>
        <v>5976.4</v>
      </c>
      <c r="DA110">
        <f>AI110</f>
        <v>5.15</v>
      </c>
      <c r="DB110">
        <f>ROUND(ROUND(AT110*CZ110,2),2)</f>
        <v>4.78</v>
      </c>
      <c r="DC110">
        <f>ROUND(ROUND(AT110*AG110,2),2)</f>
        <v>0</v>
      </c>
    </row>
    <row r="111" spans="1:107">
      <c r="A111">
        <f>ROW(Source!A94)</f>
        <v>94</v>
      </c>
      <c r="B111">
        <v>47920234</v>
      </c>
      <c r="C111">
        <v>47920877</v>
      </c>
      <c r="D111">
        <v>13560818</v>
      </c>
      <c r="E111">
        <v>1</v>
      </c>
      <c r="F111">
        <v>1</v>
      </c>
      <c r="G111">
        <v>1</v>
      </c>
      <c r="H111">
        <v>3</v>
      </c>
      <c r="I111" t="s">
        <v>553</v>
      </c>
      <c r="J111" t="s">
        <v>554</v>
      </c>
      <c r="K111" t="s">
        <v>555</v>
      </c>
      <c r="L111">
        <v>1346</v>
      </c>
      <c r="N111">
        <v>1009</v>
      </c>
      <c r="O111" t="s">
        <v>219</v>
      </c>
      <c r="P111" t="s">
        <v>219</v>
      </c>
      <c r="Q111">
        <v>1</v>
      </c>
      <c r="W111">
        <v>0</v>
      </c>
      <c r="X111">
        <v>1581149146</v>
      </c>
      <c r="Y111">
        <v>3.3</v>
      </c>
      <c r="AA111">
        <v>21.42</v>
      </c>
      <c r="AB111">
        <v>0</v>
      </c>
      <c r="AC111">
        <v>0</v>
      </c>
      <c r="AD111">
        <v>0</v>
      </c>
      <c r="AE111">
        <v>4.16</v>
      </c>
      <c r="AF111">
        <v>0</v>
      </c>
      <c r="AG111">
        <v>0</v>
      </c>
      <c r="AH111">
        <v>0</v>
      </c>
      <c r="AI111">
        <v>5.15</v>
      </c>
      <c r="AJ111">
        <v>1</v>
      </c>
      <c r="AK111">
        <v>1</v>
      </c>
      <c r="AL111">
        <v>1</v>
      </c>
      <c r="AN111">
        <v>0</v>
      </c>
      <c r="AO111">
        <v>1</v>
      </c>
      <c r="AP111">
        <v>0</v>
      </c>
      <c r="AQ111">
        <v>0</v>
      </c>
      <c r="AR111">
        <v>0</v>
      </c>
      <c r="AS111" t="s">
        <v>3</v>
      </c>
      <c r="AT111">
        <v>3.3</v>
      </c>
      <c r="AU111" t="s">
        <v>3</v>
      </c>
      <c r="AV111">
        <v>0</v>
      </c>
      <c r="AW111">
        <v>2</v>
      </c>
      <c r="AX111">
        <v>47923626</v>
      </c>
      <c r="AY111">
        <v>1</v>
      </c>
      <c r="AZ111">
        <v>0</v>
      </c>
      <c r="BA111">
        <v>111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Y111*Source!I94</f>
        <v>26.4</v>
      </c>
      <c r="CY111">
        <f>AA111</f>
        <v>21.42</v>
      </c>
      <c r="CZ111">
        <f>AE111</f>
        <v>4.16</v>
      </c>
      <c r="DA111">
        <f>AI111</f>
        <v>5.15</v>
      </c>
      <c r="DB111">
        <f>ROUND(ROUND(AT111*CZ111,2),2)</f>
        <v>13.73</v>
      </c>
      <c r="DC111">
        <f>ROUND(ROUND(AT111*AG111,2),2)</f>
        <v>0</v>
      </c>
    </row>
    <row r="112" spans="1:107">
      <c r="A112">
        <f>ROW(Source!A94)</f>
        <v>94</v>
      </c>
      <c r="B112">
        <v>47920234</v>
      </c>
      <c r="C112">
        <v>47920877</v>
      </c>
      <c r="D112">
        <v>13561081</v>
      </c>
      <c r="E112">
        <v>1</v>
      </c>
      <c r="F112">
        <v>1</v>
      </c>
      <c r="G112">
        <v>1</v>
      </c>
      <c r="H112">
        <v>3</v>
      </c>
      <c r="I112" t="s">
        <v>531</v>
      </c>
      <c r="J112" t="s">
        <v>532</v>
      </c>
      <c r="K112" t="s">
        <v>533</v>
      </c>
      <c r="L112">
        <v>1308</v>
      </c>
      <c r="N112">
        <v>1003</v>
      </c>
      <c r="O112" t="s">
        <v>534</v>
      </c>
      <c r="P112" t="s">
        <v>534</v>
      </c>
      <c r="Q112">
        <v>100</v>
      </c>
      <c r="W112">
        <v>0</v>
      </c>
      <c r="X112">
        <v>2010740808</v>
      </c>
      <c r="Y112">
        <v>2.3999999999999998E-3</v>
      </c>
      <c r="AA112">
        <v>594.57000000000005</v>
      </c>
      <c r="AB112">
        <v>0</v>
      </c>
      <c r="AC112">
        <v>0</v>
      </c>
      <c r="AD112">
        <v>0</v>
      </c>
      <c r="AE112">
        <v>115.45</v>
      </c>
      <c r="AF112">
        <v>0</v>
      </c>
      <c r="AG112">
        <v>0</v>
      </c>
      <c r="AH112">
        <v>0</v>
      </c>
      <c r="AI112">
        <v>5.15</v>
      </c>
      <c r="AJ112">
        <v>1</v>
      </c>
      <c r="AK112">
        <v>1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S112" t="s">
        <v>3</v>
      </c>
      <c r="AT112">
        <v>2.3999999999999998E-3</v>
      </c>
      <c r="AU112" t="s">
        <v>3</v>
      </c>
      <c r="AV112">
        <v>0</v>
      </c>
      <c r="AW112">
        <v>2</v>
      </c>
      <c r="AX112">
        <v>47923627</v>
      </c>
      <c r="AY112">
        <v>1</v>
      </c>
      <c r="AZ112">
        <v>0</v>
      </c>
      <c r="BA112">
        <v>112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Y112*Source!I94</f>
        <v>1.9199999999999998E-2</v>
      </c>
      <c r="CY112">
        <f>AA112</f>
        <v>594.57000000000005</v>
      </c>
      <c r="CZ112">
        <f>AE112</f>
        <v>115.45</v>
      </c>
      <c r="DA112">
        <f>AI112</f>
        <v>5.15</v>
      </c>
      <c r="DB112">
        <f>ROUND(ROUND(AT112*CZ112,2),2)</f>
        <v>0.28000000000000003</v>
      </c>
      <c r="DC112">
        <f>ROUND(ROUND(AT112*AG112,2),2)</f>
        <v>0</v>
      </c>
    </row>
    <row r="113" spans="1:107">
      <c r="A113">
        <f>ROW(Source!A94)</f>
        <v>94</v>
      </c>
      <c r="B113">
        <v>47920234</v>
      </c>
      <c r="C113">
        <v>47920877</v>
      </c>
      <c r="D113">
        <v>13663275</v>
      </c>
      <c r="E113">
        <v>1</v>
      </c>
      <c r="F113">
        <v>1</v>
      </c>
      <c r="G113">
        <v>1</v>
      </c>
      <c r="H113">
        <v>3</v>
      </c>
      <c r="I113" t="s">
        <v>550</v>
      </c>
      <c r="J113" t="s">
        <v>551</v>
      </c>
      <c r="K113" t="s">
        <v>552</v>
      </c>
      <c r="L113">
        <v>1348</v>
      </c>
      <c r="N113">
        <v>1009</v>
      </c>
      <c r="O113" t="s">
        <v>337</v>
      </c>
      <c r="P113" t="s">
        <v>337</v>
      </c>
      <c r="Q113">
        <v>1000</v>
      </c>
      <c r="W113">
        <v>0</v>
      </c>
      <c r="X113">
        <v>1138560716</v>
      </c>
      <c r="Y113">
        <v>2.0000000000000002E-5</v>
      </c>
      <c r="AA113">
        <v>49842.83</v>
      </c>
      <c r="AB113">
        <v>0</v>
      </c>
      <c r="AC113">
        <v>0</v>
      </c>
      <c r="AD113">
        <v>0</v>
      </c>
      <c r="AE113">
        <v>9678.2199999999993</v>
      </c>
      <c r="AF113">
        <v>0</v>
      </c>
      <c r="AG113">
        <v>0</v>
      </c>
      <c r="AH113">
        <v>0</v>
      </c>
      <c r="AI113">
        <v>5.15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S113" t="s">
        <v>3</v>
      </c>
      <c r="AT113">
        <v>2.0000000000000002E-5</v>
      </c>
      <c r="AU113" t="s">
        <v>3</v>
      </c>
      <c r="AV113">
        <v>0</v>
      </c>
      <c r="AW113">
        <v>2</v>
      </c>
      <c r="AX113">
        <v>47923628</v>
      </c>
      <c r="AY113">
        <v>1</v>
      </c>
      <c r="AZ113">
        <v>0</v>
      </c>
      <c r="BA113">
        <v>113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Y113*Source!I94</f>
        <v>1.6000000000000001E-4</v>
      </c>
      <c r="CY113">
        <f>AA113</f>
        <v>49842.83</v>
      </c>
      <c r="CZ113">
        <f>AE113</f>
        <v>9678.2199999999993</v>
      </c>
      <c r="DA113">
        <f>AI113</f>
        <v>5.15</v>
      </c>
      <c r="DB113">
        <f>ROUND(ROUND(AT113*CZ113,2),2)</f>
        <v>0.19</v>
      </c>
      <c r="DC113">
        <f>ROUND(ROUND(AT113*AG113,2),2)</f>
        <v>0</v>
      </c>
    </row>
    <row r="114" spans="1:107">
      <c r="A114">
        <f>ROW(Source!A94)</f>
        <v>94</v>
      </c>
      <c r="B114">
        <v>47920234</v>
      </c>
      <c r="C114">
        <v>47920877</v>
      </c>
      <c r="D114">
        <v>13758332</v>
      </c>
      <c r="E114">
        <v>1</v>
      </c>
      <c r="F114">
        <v>1</v>
      </c>
      <c r="G114">
        <v>1</v>
      </c>
      <c r="H114">
        <v>3</v>
      </c>
      <c r="I114" t="s">
        <v>509</v>
      </c>
      <c r="J114" t="s">
        <v>510</v>
      </c>
      <c r="K114" t="s">
        <v>511</v>
      </c>
      <c r="L114">
        <v>1374</v>
      </c>
      <c r="N114">
        <v>1013</v>
      </c>
      <c r="O114" t="s">
        <v>512</v>
      </c>
      <c r="P114" t="s">
        <v>512</v>
      </c>
      <c r="Q114">
        <v>1</v>
      </c>
      <c r="W114">
        <v>0</v>
      </c>
      <c r="X114">
        <v>1723657366</v>
      </c>
      <c r="Y114">
        <v>2.21</v>
      </c>
      <c r="AA114">
        <v>5.15</v>
      </c>
      <c r="AB114">
        <v>0</v>
      </c>
      <c r="AC114">
        <v>0</v>
      </c>
      <c r="AD114">
        <v>0</v>
      </c>
      <c r="AE114">
        <v>1</v>
      </c>
      <c r="AF114">
        <v>0</v>
      </c>
      <c r="AG114">
        <v>0</v>
      </c>
      <c r="AH114">
        <v>0</v>
      </c>
      <c r="AI114">
        <v>5.15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S114" t="s">
        <v>3</v>
      </c>
      <c r="AT114">
        <v>2.21</v>
      </c>
      <c r="AU114" t="s">
        <v>3</v>
      </c>
      <c r="AV114">
        <v>0</v>
      </c>
      <c r="AW114">
        <v>2</v>
      </c>
      <c r="AX114">
        <v>47923629</v>
      </c>
      <c r="AY114">
        <v>1</v>
      </c>
      <c r="AZ114">
        <v>0</v>
      </c>
      <c r="BA114">
        <v>114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Y114*Source!I94</f>
        <v>17.68</v>
      </c>
      <c r="CY114">
        <f>AA114</f>
        <v>5.15</v>
      </c>
      <c r="CZ114">
        <f>AE114</f>
        <v>1</v>
      </c>
      <c r="DA114">
        <f>AI114</f>
        <v>5.15</v>
      </c>
      <c r="DB114">
        <f>ROUND(ROUND(AT114*CZ114,2),2)</f>
        <v>2.21</v>
      </c>
      <c r="DC114">
        <f>ROUND(ROUND(AT114*AG114,2),2)</f>
        <v>0</v>
      </c>
    </row>
    <row r="115" spans="1:107">
      <c r="A115">
        <f>ROW(Source!A95)</f>
        <v>95</v>
      </c>
      <c r="B115">
        <v>47920234</v>
      </c>
      <c r="C115">
        <v>47920896</v>
      </c>
      <c r="D115">
        <v>9915120</v>
      </c>
      <c r="E115">
        <v>1</v>
      </c>
      <c r="F115">
        <v>1</v>
      </c>
      <c r="G115">
        <v>1</v>
      </c>
      <c r="H115">
        <v>1</v>
      </c>
      <c r="I115" t="s">
        <v>507</v>
      </c>
      <c r="J115" t="s">
        <v>3</v>
      </c>
      <c r="K115" t="s">
        <v>508</v>
      </c>
      <c r="L115">
        <v>1191</v>
      </c>
      <c r="N115">
        <v>1013</v>
      </c>
      <c r="O115" t="s">
        <v>460</v>
      </c>
      <c r="P115" t="s">
        <v>460</v>
      </c>
      <c r="Q115">
        <v>1</v>
      </c>
      <c r="W115">
        <v>0</v>
      </c>
      <c r="X115">
        <v>1028592258</v>
      </c>
      <c r="Y115">
        <v>0.52439999999999987</v>
      </c>
      <c r="AA115">
        <v>0</v>
      </c>
      <c r="AB115">
        <v>0</v>
      </c>
      <c r="AC115">
        <v>0</v>
      </c>
      <c r="AD115">
        <v>270.5</v>
      </c>
      <c r="AE115">
        <v>0</v>
      </c>
      <c r="AF115">
        <v>0</v>
      </c>
      <c r="AG115">
        <v>0</v>
      </c>
      <c r="AH115">
        <v>9.35</v>
      </c>
      <c r="AI115">
        <v>1</v>
      </c>
      <c r="AJ115">
        <v>1</v>
      </c>
      <c r="AK115">
        <v>1</v>
      </c>
      <c r="AL115">
        <v>28.93</v>
      </c>
      <c r="AN115">
        <v>0</v>
      </c>
      <c r="AO115">
        <v>1</v>
      </c>
      <c r="AP115">
        <v>1</v>
      </c>
      <c r="AQ115">
        <v>0</v>
      </c>
      <c r="AR115">
        <v>0</v>
      </c>
      <c r="AS115" t="s">
        <v>3</v>
      </c>
      <c r="AT115">
        <v>0.38</v>
      </c>
      <c r="AU115" t="s">
        <v>66</v>
      </c>
      <c r="AV115">
        <v>1</v>
      </c>
      <c r="AW115">
        <v>2</v>
      </c>
      <c r="AX115">
        <v>47920903</v>
      </c>
      <c r="AY115">
        <v>1</v>
      </c>
      <c r="AZ115">
        <v>0</v>
      </c>
      <c r="BA115">
        <v>115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Y115*Source!I95</f>
        <v>4.1951999999999989</v>
      </c>
      <c r="CY115">
        <f>AD115</f>
        <v>270.5</v>
      </c>
      <c r="CZ115">
        <f>AH115</f>
        <v>9.35</v>
      </c>
      <c r="DA115">
        <f>AL115</f>
        <v>28.93</v>
      </c>
      <c r="DB115">
        <f>ROUND((ROUND(AT115*CZ115,2)*ROUND((1.15*1.2),7)),2)</f>
        <v>4.9000000000000004</v>
      </c>
      <c r="DC115">
        <f>ROUND((ROUND(AT115*AG115,2)*ROUND((1.15*1.2),7)),2)</f>
        <v>0</v>
      </c>
    </row>
    <row r="116" spans="1:107">
      <c r="A116">
        <f>ROW(Source!A95)</f>
        <v>95</v>
      </c>
      <c r="B116">
        <v>47920234</v>
      </c>
      <c r="C116">
        <v>47920896</v>
      </c>
      <c r="D116">
        <v>121548</v>
      </c>
      <c r="E116">
        <v>1</v>
      </c>
      <c r="F116">
        <v>1</v>
      </c>
      <c r="G116">
        <v>1</v>
      </c>
      <c r="H116">
        <v>1</v>
      </c>
      <c r="I116" t="s">
        <v>26</v>
      </c>
      <c r="J116" t="s">
        <v>3</v>
      </c>
      <c r="K116" t="s">
        <v>461</v>
      </c>
      <c r="L116">
        <v>608254</v>
      </c>
      <c r="N116">
        <v>1013</v>
      </c>
      <c r="O116" t="s">
        <v>462</v>
      </c>
      <c r="P116" t="s">
        <v>462</v>
      </c>
      <c r="Q116">
        <v>1</v>
      </c>
      <c r="W116">
        <v>0</v>
      </c>
      <c r="X116">
        <v>-185737400</v>
      </c>
      <c r="Y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1</v>
      </c>
      <c r="AJ116">
        <v>1</v>
      </c>
      <c r="AK116">
        <v>28.93</v>
      </c>
      <c r="AL116">
        <v>1</v>
      </c>
      <c r="AN116">
        <v>0</v>
      </c>
      <c r="AO116">
        <v>1</v>
      </c>
      <c r="AP116">
        <v>1</v>
      </c>
      <c r="AQ116">
        <v>0</v>
      </c>
      <c r="AR116">
        <v>0</v>
      </c>
      <c r="AS116" t="s">
        <v>3</v>
      </c>
      <c r="AT116">
        <v>0</v>
      </c>
      <c r="AU116" t="s">
        <v>66</v>
      </c>
      <c r="AV116">
        <v>2</v>
      </c>
      <c r="AW116">
        <v>2</v>
      </c>
      <c r="AX116">
        <v>47920904</v>
      </c>
      <c r="AY116">
        <v>1</v>
      </c>
      <c r="AZ116">
        <v>0</v>
      </c>
      <c r="BA116">
        <v>116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Y116*Source!I95</f>
        <v>0</v>
      </c>
      <c r="CY116">
        <f>AD116</f>
        <v>0</v>
      </c>
      <c r="CZ116">
        <f>AH116</f>
        <v>0</v>
      </c>
      <c r="DA116">
        <f>AL116</f>
        <v>1</v>
      </c>
      <c r="DB116">
        <f>ROUND((ROUND(AT116*CZ116,2)*ROUND((1.15*1.2),7)),2)</f>
        <v>0</v>
      </c>
      <c r="DC116">
        <f>ROUND((ROUND(AT116*AG116,2)*ROUND((1.15*1.2),7)),2)</f>
        <v>0</v>
      </c>
    </row>
    <row r="117" spans="1:107">
      <c r="A117">
        <f>ROW(Source!A95)</f>
        <v>95</v>
      </c>
      <c r="B117">
        <v>47920234</v>
      </c>
      <c r="C117">
        <v>47920896</v>
      </c>
      <c r="D117">
        <v>13560153</v>
      </c>
      <c r="E117">
        <v>1</v>
      </c>
      <c r="F117">
        <v>1</v>
      </c>
      <c r="G117">
        <v>1</v>
      </c>
      <c r="H117">
        <v>3</v>
      </c>
      <c r="I117" t="s">
        <v>556</v>
      </c>
      <c r="J117" t="s">
        <v>557</v>
      </c>
      <c r="K117" t="s">
        <v>558</v>
      </c>
      <c r="L117">
        <v>1346</v>
      </c>
      <c r="N117">
        <v>1009</v>
      </c>
      <c r="O117" t="s">
        <v>219</v>
      </c>
      <c r="P117" t="s">
        <v>219</v>
      </c>
      <c r="Q117">
        <v>1</v>
      </c>
      <c r="W117">
        <v>0</v>
      </c>
      <c r="X117">
        <v>-587195949</v>
      </c>
      <c r="Y117">
        <v>0.15</v>
      </c>
      <c r="AA117">
        <v>49.13</v>
      </c>
      <c r="AB117">
        <v>0</v>
      </c>
      <c r="AC117">
        <v>0</v>
      </c>
      <c r="AD117">
        <v>0</v>
      </c>
      <c r="AE117">
        <v>9.5399999999999991</v>
      </c>
      <c r="AF117">
        <v>0</v>
      </c>
      <c r="AG117">
        <v>0</v>
      </c>
      <c r="AH117">
        <v>0</v>
      </c>
      <c r="AI117">
        <v>5.15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S117" t="s">
        <v>3</v>
      </c>
      <c r="AT117">
        <v>0.15</v>
      </c>
      <c r="AU117" t="s">
        <v>3</v>
      </c>
      <c r="AV117">
        <v>0</v>
      </c>
      <c r="AW117">
        <v>2</v>
      </c>
      <c r="AX117">
        <v>47920905</v>
      </c>
      <c r="AY117">
        <v>1</v>
      </c>
      <c r="AZ117">
        <v>0</v>
      </c>
      <c r="BA117">
        <v>117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Y117*Source!I95</f>
        <v>1.2</v>
      </c>
      <c r="CY117">
        <f>AA117</f>
        <v>49.13</v>
      </c>
      <c r="CZ117">
        <f>AE117</f>
        <v>9.5399999999999991</v>
      </c>
      <c r="DA117">
        <f>AI117</f>
        <v>5.15</v>
      </c>
      <c r="DB117">
        <f>ROUND(ROUND(AT117*CZ117,2),2)</f>
        <v>1.43</v>
      </c>
      <c r="DC117">
        <f>ROUND(ROUND(AT117*AG117,2),2)</f>
        <v>0</v>
      </c>
    </row>
    <row r="118" spans="1:107">
      <c r="A118">
        <f>ROW(Source!A95)</f>
        <v>95</v>
      </c>
      <c r="B118">
        <v>47920234</v>
      </c>
      <c r="C118">
        <v>47920896</v>
      </c>
      <c r="D118">
        <v>13662846</v>
      </c>
      <c r="E118">
        <v>1</v>
      </c>
      <c r="F118">
        <v>1</v>
      </c>
      <c r="G118">
        <v>1</v>
      </c>
      <c r="H118">
        <v>3</v>
      </c>
      <c r="I118" t="s">
        <v>217</v>
      </c>
      <c r="J118" t="s">
        <v>220</v>
      </c>
      <c r="K118" t="s">
        <v>218</v>
      </c>
      <c r="L118">
        <v>1346</v>
      </c>
      <c r="N118">
        <v>1009</v>
      </c>
      <c r="O118" t="s">
        <v>219</v>
      </c>
      <c r="P118" t="s">
        <v>219</v>
      </c>
      <c r="Q118">
        <v>1</v>
      </c>
      <c r="W118">
        <v>1</v>
      </c>
      <c r="X118">
        <v>-1780330431</v>
      </c>
      <c r="Y118">
        <v>-0.72</v>
      </c>
      <c r="AA118">
        <v>102.69</v>
      </c>
      <c r="AB118">
        <v>0</v>
      </c>
      <c r="AC118">
        <v>0</v>
      </c>
      <c r="AD118">
        <v>0</v>
      </c>
      <c r="AE118">
        <v>19.940000000000001</v>
      </c>
      <c r="AF118">
        <v>0</v>
      </c>
      <c r="AG118">
        <v>0</v>
      </c>
      <c r="AH118">
        <v>0</v>
      </c>
      <c r="AI118">
        <v>5.15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0</v>
      </c>
      <c r="AQ118">
        <v>0</v>
      </c>
      <c r="AR118">
        <v>0</v>
      </c>
      <c r="AS118" t="s">
        <v>3</v>
      </c>
      <c r="AT118">
        <v>-0.72</v>
      </c>
      <c r="AU118" t="s">
        <v>3</v>
      </c>
      <c r="AV118">
        <v>0</v>
      </c>
      <c r="AW118">
        <v>2</v>
      </c>
      <c r="AX118">
        <v>47920906</v>
      </c>
      <c r="AY118">
        <v>1</v>
      </c>
      <c r="AZ118">
        <v>6144</v>
      </c>
      <c r="BA118">
        <v>118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Y118*Source!I95</f>
        <v>-5.76</v>
      </c>
      <c r="CY118">
        <f>AA118</f>
        <v>102.69</v>
      </c>
      <c r="CZ118">
        <f>AE118</f>
        <v>19.940000000000001</v>
      </c>
      <c r="DA118">
        <f>AI118</f>
        <v>5.15</v>
      </c>
      <c r="DB118">
        <f>ROUND(ROUND(AT118*CZ118,2),2)</f>
        <v>-14.36</v>
      </c>
      <c r="DC118">
        <f>ROUND(ROUND(AT118*AG118,2),2)</f>
        <v>0</v>
      </c>
    </row>
    <row r="119" spans="1:107">
      <c r="A119">
        <f>ROW(Source!A95)</f>
        <v>95</v>
      </c>
      <c r="B119">
        <v>47920234</v>
      </c>
      <c r="C119">
        <v>47920896</v>
      </c>
      <c r="D119">
        <v>13663008</v>
      </c>
      <c r="E119">
        <v>1</v>
      </c>
      <c r="F119">
        <v>1</v>
      </c>
      <c r="G119">
        <v>1</v>
      </c>
      <c r="H119">
        <v>3</v>
      </c>
      <c r="I119" t="s">
        <v>559</v>
      </c>
      <c r="J119" t="s">
        <v>560</v>
      </c>
      <c r="K119" t="s">
        <v>561</v>
      </c>
      <c r="L119">
        <v>1348</v>
      </c>
      <c r="N119">
        <v>1009</v>
      </c>
      <c r="O119" t="s">
        <v>337</v>
      </c>
      <c r="P119" t="s">
        <v>337</v>
      </c>
      <c r="Q119">
        <v>1000</v>
      </c>
      <c r="W119">
        <v>0</v>
      </c>
      <c r="X119">
        <v>-2119022289</v>
      </c>
      <c r="Y119">
        <v>6.0000000000000002E-5</v>
      </c>
      <c r="AA119">
        <v>165718.29999999999</v>
      </c>
      <c r="AB119">
        <v>0</v>
      </c>
      <c r="AC119">
        <v>0</v>
      </c>
      <c r="AD119">
        <v>0</v>
      </c>
      <c r="AE119">
        <v>32178.31</v>
      </c>
      <c r="AF119">
        <v>0</v>
      </c>
      <c r="AG119">
        <v>0</v>
      </c>
      <c r="AH119">
        <v>0</v>
      </c>
      <c r="AI119">
        <v>5.15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S119" t="s">
        <v>3</v>
      </c>
      <c r="AT119">
        <v>6.0000000000000002E-5</v>
      </c>
      <c r="AU119" t="s">
        <v>3</v>
      </c>
      <c r="AV119">
        <v>0</v>
      </c>
      <c r="AW119">
        <v>2</v>
      </c>
      <c r="AX119">
        <v>47920907</v>
      </c>
      <c r="AY119">
        <v>1</v>
      </c>
      <c r="AZ119">
        <v>0</v>
      </c>
      <c r="BA119">
        <v>119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Y119*Source!I95</f>
        <v>4.8000000000000001E-4</v>
      </c>
      <c r="CY119">
        <f>AA119</f>
        <v>165718.29999999999</v>
      </c>
      <c r="CZ119">
        <f>AE119</f>
        <v>32178.31</v>
      </c>
      <c r="DA119">
        <f>AI119</f>
        <v>5.15</v>
      </c>
      <c r="DB119">
        <f>ROUND(ROUND(AT119*CZ119,2),2)</f>
        <v>1.93</v>
      </c>
      <c r="DC119">
        <f>ROUND(ROUND(AT119*AG119,2),2)</f>
        <v>0</v>
      </c>
    </row>
    <row r="120" spans="1:107">
      <c r="A120">
        <f>ROW(Source!A95)</f>
        <v>95</v>
      </c>
      <c r="B120">
        <v>47920234</v>
      </c>
      <c r="C120">
        <v>47920896</v>
      </c>
      <c r="D120">
        <v>13758332</v>
      </c>
      <c r="E120">
        <v>1</v>
      </c>
      <c r="F120">
        <v>1</v>
      </c>
      <c r="G120">
        <v>1</v>
      </c>
      <c r="H120">
        <v>3</v>
      </c>
      <c r="I120" t="s">
        <v>509</v>
      </c>
      <c r="J120" t="s">
        <v>510</v>
      </c>
      <c r="K120" t="s">
        <v>511</v>
      </c>
      <c r="L120">
        <v>1374</v>
      </c>
      <c r="N120">
        <v>1013</v>
      </c>
      <c r="O120" t="s">
        <v>512</v>
      </c>
      <c r="P120" t="s">
        <v>512</v>
      </c>
      <c r="Q120">
        <v>1</v>
      </c>
      <c r="W120">
        <v>0</v>
      </c>
      <c r="X120">
        <v>1723657366</v>
      </c>
      <c r="Y120">
        <v>7.0000000000000007E-2</v>
      </c>
      <c r="AA120">
        <v>5.15</v>
      </c>
      <c r="AB120">
        <v>0</v>
      </c>
      <c r="AC120">
        <v>0</v>
      </c>
      <c r="AD120">
        <v>0</v>
      </c>
      <c r="AE120">
        <v>1</v>
      </c>
      <c r="AF120">
        <v>0</v>
      </c>
      <c r="AG120">
        <v>0</v>
      </c>
      <c r="AH120">
        <v>0</v>
      </c>
      <c r="AI120">
        <v>5.15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S120" t="s">
        <v>3</v>
      </c>
      <c r="AT120">
        <v>7.0000000000000007E-2</v>
      </c>
      <c r="AU120" t="s">
        <v>3</v>
      </c>
      <c r="AV120">
        <v>0</v>
      </c>
      <c r="AW120">
        <v>2</v>
      </c>
      <c r="AX120">
        <v>47920908</v>
      </c>
      <c r="AY120">
        <v>1</v>
      </c>
      <c r="AZ120">
        <v>0</v>
      </c>
      <c r="BA120">
        <v>120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Y120*Source!I95</f>
        <v>0.56000000000000005</v>
      </c>
      <c r="CY120">
        <f>AA120</f>
        <v>5.15</v>
      </c>
      <c r="CZ120">
        <f>AE120</f>
        <v>1</v>
      </c>
      <c r="DA120">
        <f>AI120</f>
        <v>5.15</v>
      </c>
      <c r="DB120">
        <f>ROUND(ROUND(AT120*CZ120,2),2)</f>
        <v>7.0000000000000007E-2</v>
      </c>
      <c r="DC120">
        <f>ROUND(ROUND(AT120*AG120,2),2)</f>
        <v>0</v>
      </c>
    </row>
    <row r="121" spans="1:107">
      <c r="A121">
        <f>ROW(Source!A97)</f>
        <v>97</v>
      </c>
      <c r="B121">
        <v>47920234</v>
      </c>
      <c r="C121">
        <v>47920910</v>
      </c>
      <c r="D121">
        <v>9928470</v>
      </c>
      <c r="E121">
        <v>1</v>
      </c>
      <c r="F121">
        <v>1</v>
      </c>
      <c r="G121">
        <v>1</v>
      </c>
      <c r="H121">
        <v>1</v>
      </c>
      <c r="I121" t="s">
        <v>562</v>
      </c>
      <c r="J121" t="s">
        <v>3</v>
      </c>
      <c r="K121" t="s">
        <v>563</v>
      </c>
      <c r="L121">
        <v>1191</v>
      </c>
      <c r="N121">
        <v>1013</v>
      </c>
      <c r="O121" t="s">
        <v>460</v>
      </c>
      <c r="P121" t="s">
        <v>460</v>
      </c>
      <c r="Q121">
        <v>1</v>
      </c>
      <c r="W121">
        <v>0</v>
      </c>
      <c r="X121">
        <v>-999814228</v>
      </c>
      <c r="Y121">
        <v>1.6605000000000001</v>
      </c>
      <c r="AA121">
        <v>0</v>
      </c>
      <c r="AB121">
        <v>0</v>
      </c>
      <c r="AC121">
        <v>0</v>
      </c>
      <c r="AD121">
        <v>303.48</v>
      </c>
      <c r="AE121">
        <v>0</v>
      </c>
      <c r="AF121">
        <v>0</v>
      </c>
      <c r="AG121">
        <v>0</v>
      </c>
      <c r="AH121">
        <v>10.49</v>
      </c>
      <c r="AI121">
        <v>1</v>
      </c>
      <c r="AJ121">
        <v>1</v>
      </c>
      <c r="AK121">
        <v>1</v>
      </c>
      <c r="AL121">
        <v>28.93</v>
      </c>
      <c r="AN121">
        <v>0</v>
      </c>
      <c r="AO121">
        <v>1</v>
      </c>
      <c r="AP121">
        <v>1</v>
      </c>
      <c r="AQ121">
        <v>0</v>
      </c>
      <c r="AR121">
        <v>0</v>
      </c>
      <c r="AS121" t="s">
        <v>3</v>
      </c>
      <c r="AT121">
        <v>1.23</v>
      </c>
      <c r="AU121" t="s">
        <v>188</v>
      </c>
      <c r="AV121">
        <v>1</v>
      </c>
      <c r="AW121">
        <v>2</v>
      </c>
      <c r="AX121">
        <v>47920922</v>
      </c>
      <c r="AY121">
        <v>1</v>
      </c>
      <c r="AZ121">
        <v>0</v>
      </c>
      <c r="BA121">
        <v>121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Y121*Source!I97</f>
        <v>9.963000000000001</v>
      </c>
      <c r="CY121">
        <f>AD121</f>
        <v>303.48</v>
      </c>
      <c r="CZ121">
        <f>AH121</f>
        <v>10.49</v>
      </c>
      <c r="DA121">
        <f>AL121</f>
        <v>28.93</v>
      </c>
      <c r="DB121">
        <f>ROUND((ROUND(AT121*CZ121,2)*ROUND(1.35,7)),2)</f>
        <v>17.420000000000002</v>
      </c>
      <c r="DC121">
        <f>ROUND((ROUND(AT121*AG121,2)*ROUND(1.35,7)),2)</f>
        <v>0</v>
      </c>
    </row>
    <row r="122" spans="1:107">
      <c r="A122">
        <f>ROW(Source!A97)</f>
        <v>97</v>
      </c>
      <c r="B122">
        <v>47920234</v>
      </c>
      <c r="C122">
        <v>47920910</v>
      </c>
      <c r="D122">
        <v>121548</v>
      </c>
      <c r="E122">
        <v>1</v>
      </c>
      <c r="F122">
        <v>1</v>
      </c>
      <c r="G122">
        <v>1</v>
      </c>
      <c r="H122">
        <v>1</v>
      </c>
      <c r="I122" t="s">
        <v>26</v>
      </c>
      <c r="J122" t="s">
        <v>3</v>
      </c>
      <c r="K122" t="s">
        <v>461</v>
      </c>
      <c r="L122">
        <v>608254</v>
      </c>
      <c r="N122">
        <v>1013</v>
      </c>
      <c r="O122" t="s">
        <v>462</v>
      </c>
      <c r="P122" t="s">
        <v>462</v>
      </c>
      <c r="Q122">
        <v>1</v>
      </c>
      <c r="W122">
        <v>0</v>
      </c>
      <c r="X122">
        <v>-185737400</v>
      </c>
      <c r="Y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1</v>
      </c>
      <c r="AJ122">
        <v>1</v>
      </c>
      <c r="AK122">
        <v>28.93</v>
      </c>
      <c r="AL122">
        <v>1</v>
      </c>
      <c r="AN122">
        <v>0</v>
      </c>
      <c r="AO122">
        <v>1</v>
      </c>
      <c r="AP122">
        <v>1</v>
      </c>
      <c r="AQ122">
        <v>0</v>
      </c>
      <c r="AR122">
        <v>0</v>
      </c>
      <c r="AS122" t="s">
        <v>3</v>
      </c>
      <c r="AT122">
        <v>0</v>
      </c>
      <c r="AU122" t="s">
        <v>188</v>
      </c>
      <c r="AV122">
        <v>2</v>
      </c>
      <c r="AW122">
        <v>2</v>
      </c>
      <c r="AX122">
        <v>47920923</v>
      </c>
      <c r="AY122">
        <v>1</v>
      </c>
      <c r="AZ122">
        <v>0</v>
      </c>
      <c r="BA122">
        <v>122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Y122*Source!I97</f>
        <v>0</v>
      </c>
      <c r="CY122">
        <f>AD122</f>
        <v>0</v>
      </c>
      <c r="CZ122">
        <f>AH122</f>
        <v>0</v>
      </c>
      <c r="DA122">
        <f>AL122</f>
        <v>1</v>
      </c>
      <c r="DB122">
        <f>ROUND((ROUND(AT122*CZ122,2)*ROUND(1.35,7)),2)</f>
        <v>0</v>
      </c>
      <c r="DC122">
        <f>ROUND((ROUND(AT122*AG122,2)*ROUND(1.35,7)),2)</f>
        <v>0</v>
      </c>
    </row>
    <row r="123" spans="1:107">
      <c r="A123">
        <f>ROW(Source!A97)</f>
        <v>97</v>
      </c>
      <c r="B123">
        <v>47920234</v>
      </c>
      <c r="C123">
        <v>47920910</v>
      </c>
      <c r="D123">
        <v>13556568</v>
      </c>
      <c r="E123">
        <v>1</v>
      </c>
      <c r="F123">
        <v>1</v>
      </c>
      <c r="G123">
        <v>1</v>
      </c>
      <c r="H123">
        <v>2</v>
      </c>
      <c r="I123" t="s">
        <v>564</v>
      </c>
      <c r="J123" t="s">
        <v>565</v>
      </c>
      <c r="K123" t="s">
        <v>566</v>
      </c>
      <c r="L123">
        <v>1368</v>
      </c>
      <c r="N123">
        <v>1011</v>
      </c>
      <c r="O123" t="s">
        <v>468</v>
      </c>
      <c r="P123" t="s">
        <v>468</v>
      </c>
      <c r="Q123">
        <v>1</v>
      </c>
      <c r="W123">
        <v>0</v>
      </c>
      <c r="X123">
        <v>-124752544</v>
      </c>
      <c r="Y123">
        <v>8.1000000000000003E-2</v>
      </c>
      <c r="AA123">
        <v>0</v>
      </c>
      <c r="AB123">
        <v>18.84</v>
      </c>
      <c r="AC123">
        <v>0</v>
      </c>
      <c r="AD123">
        <v>0</v>
      </c>
      <c r="AE123">
        <v>0</v>
      </c>
      <c r="AF123">
        <v>2.44</v>
      </c>
      <c r="AG123">
        <v>0</v>
      </c>
      <c r="AH123">
        <v>0</v>
      </c>
      <c r="AI123">
        <v>1</v>
      </c>
      <c r="AJ123">
        <v>7.72</v>
      </c>
      <c r="AK123">
        <v>28.93</v>
      </c>
      <c r="AL123">
        <v>1</v>
      </c>
      <c r="AN123">
        <v>0</v>
      </c>
      <c r="AO123">
        <v>1</v>
      </c>
      <c r="AP123">
        <v>1</v>
      </c>
      <c r="AQ123">
        <v>0</v>
      </c>
      <c r="AR123">
        <v>0</v>
      </c>
      <c r="AS123" t="s">
        <v>3</v>
      </c>
      <c r="AT123">
        <v>0.06</v>
      </c>
      <c r="AU123" t="s">
        <v>188</v>
      </c>
      <c r="AV123">
        <v>0</v>
      </c>
      <c r="AW123">
        <v>2</v>
      </c>
      <c r="AX123">
        <v>47920924</v>
      </c>
      <c r="AY123">
        <v>1</v>
      </c>
      <c r="AZ123">
        <v>0</v>
      </c>
      <c r="BA123">
        <v>123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Y123*Source!I97</f>
        <v>0.48599999999999999</v>
      </c>
      <c r="CY123">
        <f>AB123</f>
        <v>18.84</v>
      </c>
      <c r="CZ123">
        <f>AF123</f>
        <v>2.44</v>
      </c>
      <c r="DA123">
        <f>AJ123</f>
        <v>7.72</v>
      </c>
      <c r="DB123">
        <f>ROUND((ROUND(AT123*CZ123,2)*ROUND(1.35,7)),2)</f>
        <v>0.2</v>
      </c>
      <c r="DC123">
        <f>ROUND((ROUND(AT123*AG123,2)*ROUND(1.35,7)),2)</f>
        <v>0</v>
      </c>
    </row>
    <row r="124" spans="1:107">
      <c r="A124">
        <f>ROW(Source!A97)</f>
        <v>97</v>
      </c>
      <c r="B124">
        <v>47920234</v>
      </c>
      <c r="C124">
        <v>47920910</v>
      </c>
      <c r="D124">
        <v>13556760</v>
      </c>
      <c r="E124">
        <v>1</v>
      </c>
      <c r="F124">
        <v>1</v>
      </c>
      <c r="G124">
        <v>1</v>
      </c>
      <c r="H124">
        <v>2</v>
      </c>
      <c r="I124" t="s">
        <v>567</v>
      </c>
      <c r="J124" t="s">
        <v>568</v>
      </c>
      <c r="K124" t="s">
        <v>569</v>
      </c>
      <c r="L124">
        <v>1368</v>
      </c>
      <c r="N124">
        <v>1011</v>
      </c>
      <c r="O124" t="s">
        <v>468</v>
      </c>
      <c r="P124" t="s">
        <v>468</v>
      </c>
      <c r="Q124">
        <v>1</v>
      </c>
      <c r="W124">
        <v>0</v>
      </c>
      <c r="X124">
        <v>-553565795</v>
      </c>
      <c r="Y124">
        <v>0.13500000000000001</v>
      </c>
      <c r="AA124">
        <v>0</v>
      </c>
      <c r="AB124">
        <v>10.34</v>
      </c>
      <c r="AC124">
        <v>0</v>
      </c>
      <c r="AD124">
        <v>0</v>
      </c>
      <c r="AE124">
        <v>0</v>
      </c>
      <c r="AF124">
        <v>1.34</v>
      </c>
      <c r="AG124">
        <v>0</v>
      </c>
      <c r="AH124">
        <v>0</v>
      </c>
      <c r="AI124">
        <v>1</v>
      </c>
      <c r="AJ124">
        <v>7.72</v>
      </c>
      <c r="AK124">
        <v>28.93</v>
      </c>
      <c r="AL124">
        <v>1</v>
      </c>
      <c r="AN124">
        <v>0</v>
      </c>
      <c r="AO124">
        <v>1</v>
      </c>
      <c r="AP124">
        <v>1</v>
      </c>
      <c r="AQ124">
        <v>0</v>
      </c>
      <c r="AR124">
        <v>0</v>
      </c>
      <c r="AS124" t="s">
        <v>3</v>
      </c>
      <c r="AT124">
        <v>0.1</v>
      </c>
      <c r="AU124" t="s">
        <v>188</v>
      </c>
      <c r="AV124">
        <v>0</v>
      </c>
      <c r="AW124">
        <v>2</v>
      </c>
      <c r="AX124">
        <v>47920925</v>
      </c>
      <c r="AY124">
        <v>1</v>
      </c>
      <c r="AZ124">
        <v>0</v>
      </c>
      <c r="BA124">
        <v>124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Y124*Source!I97</f>
        <v>0.81</v>
      </c>
      <c r="CY124">
        <f>AB124</f>
        <v>10.34</v>
      </c>
      <c r="CZ124">
        <f>AF124</f>
        <v>1.34</v>
      </c>
      <c r="DA124">
        <f>AJ124</f>
        <v>7.72</v>
      </c>
      <c r="DB124">
        <f>ROUND((ROUND(AT124*CZ124,2)*ROUND(1.35,7)),2)</f>
        <v>0.18</v>
      </c>
      <c r="DC124">
        <f>ROUND((ROUND(AT124*AG124,2)*ROUND(1.35,7)),2)</f>
        <v>0</v>
      </c>
    </row>
    <row r="125" spans="1:107">
      <c r="A125">
        <f>ROW(Source!A97)</f>
        <v>97</v>
      </c>
      <c r="B125">
        <v>47920234</v>
      </c>
      <c r="C125">
        <v>47920910</v>
      </c>
      <c r="D125">
        <v>13560112</v>
      </c>
      <c r="E125">
        <v>1</v>
      </c>
      <c r="F125">
        <v>1</v>
      </c>
      <c r="G125">
        <v>1</v>
      </c>
      <c r="H125">
        <v>3</v>
      </c>
      <c r="I125" t="s">
        <v>570</v>
      </c>
      <c r="J125" t="s">
        <v>571</v>
      </c>
      <c r="K125" t="s">
        <v>572</v>
      </c>
      <c r="L125">
        <v>1346</v>
      </c>
      <c r="N125">
        <v>1009</v>
      </c>
      <c r="O125" t="s">
        <v>219</v>
      </c>
      <c r="P125" t="s">
        <v>219</v>
      </c>
      <c r="Q125">
        <v>1</v>
      </c>
      <c r="W125">
        <v>0</v>
      </c>
      <c r="X125">
        <v>2088955205</v>
      </c>
      <c r="Y125">
        <v>8.0000000000000002E-3</v>
      </c>
      <c r="AA125">
        <v>185.04</v>
      </c>
      <c r="AB125">
        <v>0</v>
      </c>
      <c r="AC125">
        <v>0</v>
      </c>
      <c r="AD125">
        <v>0</v>
      </c>
      <c r="AE125">
        <v>35.93</v>
      </c>
      <c r="AF125">
        <v>0</v>
      </c>
      <c r="AG125">
        <v>0</v>
      </c>
      <c r="AH125">
        <v>0</v>
      </c>
      <c r="AI125">
        <v>5.15</v>
      </c>
      <c r="AJ125">
        <v>1</v>
      </c>
      <c r="AK125">
        <v>1</v>
      </c>
      <c r="AL125">
        <v>1</v>
      </c>
      <c r="AN125">
        <v>0</v>
      </c>
      <c r="AO125">
        <v>1</v>
      </c>
      <c r="AP125">
        <v>0</v>
      </c>
      <c r="AQ125">
        <v>0</v>
      </c>
      <c r="AR125">
        <v>0</v>
      </c>
      <c r="AS125" t="s">
        <v>3</v>
      </c>
      <c r="AT125">
        <v>8.0000000000000002E-3</v>
      </c>
      <c r="AU125" t="s">
        <v>3</v>
      </c>
      <c r="AV125">
        <v>0</v>
      </c>
      <c r="AW125">
        <v>2</v>
      </c>
      <c r="AX125">
        <v>47920926</v>
      </c>
      <c r="AY125">
        <v>1</v>
      </c>
      <c r="AZ125">
        <v>0</v>
      </c>
      <c r="BA125">
        <v>125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Y125*Source!I97</f>
        <v>4.8000000000000001E-2</v>
      </c>
      <c r="CY125">
        <f t="shared" ref="CY125:CY131" si="20">AA125</f>
        <v>185.04</v>
      </c>
      <c r="CZ125">
        <f t="shared" ref="CZ125:CZ131" si="21">AE125</f>
        <v>35.93</v>
      </c>
      <c r="DA125">
        <f t="shared" ref="DA125:DA131" si="22">AI125</f>
        <v>5.15</v>
      </c>
      <c r="DB125">
        <f t="shared" ref="DB125:DB139" si="23">ROUND(ROUND(AT125*CZ125,2),2)</f>
        <v>0.28999999999999998</v>
      </c>
      <c r="DC125">
        <f t="shared" ref="DC125:DC139" si="24">ROUND(ROUND(AT125*AG125,2),2)</f>
        <v>0</v>
      </c>
    </row>
    <row r="126" spans="1:107">
      <c r="A126">
        <f>ROW(Source!A97)</f>
        <v>97</v>
      </c>
      <c r="B126">
        <v>47920234</v>
      </c>
      <c r="C126">
        <v>47920910</v>
      </c>
      <c r="D126">
        <v>13560429</v>
      </c>
      <c r="E126">
        <v>1</v>
      </c>
      <c r="F126">
        <v>1</v>
      </c>
      <c r="G126">
        <v>1</v>
      </c>
      <c r="H126">
        <v>3</v>
      </c>
      <c r="I126" t="s">
        <v>573</v>
      </c>
      <c r="J126" t="s">
        <v>574</v>
      </c>
      <c r="K126" t="s">
        <v>575</v>
      </c>
      <c r="L126">
        <v>1346</v>
      </c>
      <c r="N126">
        <v>1009</v>
      </c>
      <c r="O126" t="s">
        <v>219</v>
      </c>
      <c r="P126" t="s">
        <v>219</v>
      </c>
      <c r="Q126">
        <v>1</v>
      </c>
      <c r="W126">
        <v>0</v>
      </c>
      <c r="X126">
        <v>-554374084</v>
      </c>
      <c r="Y126">
        <v>2E-3</v>
      </c>
      <c r="AA126">
        <v>91.05</v>
      </c>
      <c r="AB126">
        <v>0</v>
      </c>
      <c r="AC126">
        <v>0</v>
      </c>
      <c r="AD126">
        <v>0</v>
      </c>
      <c r="AE126">
        <v>17.68</v>
      </c>
      <c r="AF126">
        <v>0</v>
      </c>
      <c r="AG126">
        <v>0</v>
      </c>
      <c r="AH126">
        <v>0</v>
      </c>
      <c r="AI126">
        <v>5.15</v>
      </c>
      <c r="AJ126">
        <v>1</v>
      </c>
      <c r="AK126">
        <v>1</v>
      </c>
      <c r="AL126">
        <v>1</v>
      </c>
      <c r="AN126">
        <v>0</v>
      </c>
      <c r="AO126">
        <v>1</v>
      </c>
      <c r="AP126">
        <v>0</v>
      </c>
      <c r="AQ126">
        <v>0</v>
      </c>
      <c r="AR126">
        <v>0</v>
      </c>
      <c r="AS126" t="s">
        <v>3</v>
      </c>
      <c r="AT126">
        <v>2E-3</v>
      </c>
      <c r="AU126" t="s">
        <v>3</v>
      </c>
      <c r="AV126">
        <v>0</v>
      </c>
      <c r="AW126">
        <v>2</v>
      </c>
      <c r="AX126">
        <v>47920927</v>
      </c>
      <c r="AY126">
        <v>1</v>
      </c>
      <c r="AZ126">
        <v>0</v>
      </c>
      <c r="BA126">
        <v>126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Y126*Source!I97</f>
        <v>1.2E-2</v>
      </c>
      <c r="CY126">
        <f t="shared" si="20"/>
        <v>91.05</v>
      </c>
      <c r="CZ126">
        <f t="shared" si="21"/>
        <v>17.68</v>
      </c>
      <c r="DA126">
        <f t="shared" si="22"/>
        <v>5.15</v>
      </c>
      <c r="DB126">
        <f t="shared" si="23"/>
        <v>0.04</v>
      </c>
      <c r="DC126">
        <f t="shared" si="24"/>
        <v>0</v>
      </c>
    </row>
    <row r="127" spans="1:107">
      <c r="A127">
        <f>ROW(Source!A97)</f>
        <v>97</v>
      </c>
      <c r="B127">
        <v>47920234</v>
      </c>
      <c r="C127">
        <v>47920910</v>
      </c>
      <c r="D127">
        <v>13560442</v>
      </c>
      <c r="E127">
        <v>1</v>
      </c>
      <c r="F127">
        <v>1</v>
      </c>
      <c r="G127">
        <v>1</v>
      </c>
      <c r="H127">
        <v>3</v>
      </c>
      <c r="I127" t="s">
        <v>576</v>
      </c>
      <c r="J127" t="s">
        <v>577</v>
      </c>
      <c r="K127" t="s">
        <v>578</v>
      </c>
      <c r="L127">
        <v>1346</v>
      </c>
      <c r="N127">
        <v>1009</v>
      </c>
      <c r="O127" t="s">
        <v>219</v>
      </c>
      <c r="P127" t="s">
        <v>219</v>
      </c>
      <c r="Q127">
        <v>1</v>
      </c>
      <c r="W127">
        <v>0</v>
      </c>
      <c r="X127">
        <v>-1111495648</v>
      </c>
      <c r="Y127">
        <v>0.20799999999999999</v>
      </c>
      <c r="AA127">
        <v>45.53</v>
      </c>
      <c r="AB127">
        <v>0</v>
      </c>
      <c r="AC127">
        <v>0</v>
      </c>
      <c r="AD127">
        <v>0</v>
      </c>
      <c r="AE127">
        <v>8.84</v>
      </c>
      <c r="AF127">
        <v>0</v>
      </c>
      <c r="AG127">
        <v>0</v>
      </c>
      <c r="AH127">
        <v>0</v>
      </c>
      <c r="AI127">
        <v>5.15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S127" t="s">
        <v>3</v>
      </c>
      <c r="AT127">
        <v>0.20799999999999999</v>
      </c>
      <c r="AU127" t="s">
        <v>3</v>
      </c>
      <c r="AV127">
        <v>0</v>
      </c>
      <c r="AW127">
        <v>2</v>
      </c>
      <c r="AX127">
        <v>47920928</v>
      </c>
      <c r="AY127">
        <v>1</v>
      </c>
      <c r="AZ127">
        <v>0</v>
      </c>
      <c r="BA127">
        <v>127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Y127*Source!I97</f>
        <v>1.248</v>
      </c>
      <c r="CY127">
        <f t="shared" si="20"/>
        <v>45.53</v>
      </c>
      <c r="CZ127">
        <f t="shared" si="21"/>
        <v>8.84</v>
      </c>
      <c r="DA127">
        <f t="shared" si="22"/>
        <v>5.15</v>
      </c>
      <c r="DB127">
        <f t="shared" si="23"/>
        <v>1.84</v>
      </c>
      <c r="DC127">
        <f t="shared" si="24"/>
        <v>0</v>
      </c>
    </row>
    <row r="128" spans="1:107">
      <c r="A128">
        <f>ROW(Source!A97)</f>
        <v>97</v>
      </c>
      <c r="B128">
        <v>47920234</v>
      </c>
      <c r="C128">
        <v>47920910</v>
      </c>
      <c r="D128">
        <v>13560926</v>
      </c>
      <c r="E128">
        <v>1</v>
      </c>
      <c r="F128">
        <v>1</v>
      </c>
      <c r="G128">
        <v>1</v>
      </c>
      <c r="H128">
        <v>3</v>
      </c>
      <c r="I128" t="s">
        <v>579</v>
      </c>
      <c r="J128" t="s">
        <v>580</v>
      </c>
      <c r="K128" t="s">
        <v>581</v>
      </c>
      <c r="L128">
        <v>1346</v>
      </c>
      <c r="N128">
        <v>1009</v>
      </c>
      <c r="O128" t="s">
        <v>219</v>
      </c>
      <c r="P128" t="s">
        <v>219</v>
      </c>
      <c r="Q128">
        <v>1</v>
      </c>
      <c r="W128">
        <v>0</v>
      </c>
      <c r="X128">
        <v>153840935</v>
      </c>
      <c r="Y128">
        <v>1E-3</v>
      </c>
      <c r="AA128">
        <v>818.18</v>
      </c>
      <c r="AB128">
        <v>0</v>
      </c>
      <c r="AC128">
        <v>0</v>
      </c>
      <c r="AD128">
        <v>0</v>
      </c>
      <c r="AE128">
        <v>158.87</v>
      </c>
      <c r="AF128">
        <v>0</v>
      </c>
      <c r="AG128">
        <v>0</v>
      </c>
      <c r="AH128">
        <v>0</v>
      </c>
      <c r="AI128">
        <v>5.15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S128" t="s">
        <v>3</v>
      </c>
      <c r="AT128">
        <v>1E-3</v>
      </c>
      <c r="AU128" t="s">
        <v>3</v>
      </c>
      <c r="AV128">
        <v>0</v>
      </c>
      <c r="AW128">
        <v>2</v>
      </c>
      <c r="AX128">
        <v>47920929</v>
      </c>
      <c r="AY128">
        <v>1</v>
      </c>
      <c r="AZ128">
        <v>0</v>
      </c>
      <c r="BA128">
        <v>128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Y128*Source!I97</f>
        <v>6.0000000000000001E-3</v>
      </c>
      <c r="CY128">
        <f t="shared" si="20"/>
        <v>818.18</v>
      </c>
      <c r="CZ128">
        <f t="shared" si="21"/>
        <v>158.87</v>
      </c>
      <c r="DA128">
        <f t="shared" si="22"/>
        <v>5.15</v>
      </c>
      <c r="DB128">
        <f t="shared" si="23"/>
        <v>0.16</v>
      </c>
      <c r="DC128">
        <f t="shared" si="24"/>
        <v>0</v>
      </c>
    </row>
    <row r="129" spans="1:107">
      <c r="A129">
        <f>ROW(Source!A97)</f>
        <v>97</v>
      </c>
      <c r="B129">
        <v>47920234</v>
      </c>
      <c r="C129">
        <v>47920910</v>
      </c>
      <c r="D129">
        <v>13561108</v>
      </c>
      <c r="E129">
        <v>1</v>
      </c>
      <c r="F129">
        <v>1</v>
      </c>
      <c r="G129">
        <v>1</v>
      </c>
      <c r="H129">
        <v>3</v>
      </c>
      <c r="I129" t="s">
        <v>582</v>
      </c>
      <c r="J129" t="s">
        <v>583</v>
      </c>
      <c r="K129" t="s">
        <v>584</v>
      </c>
      <c r="L129">
        <v>1346</v>
      </c>
      <c r="N129">
        <v>1009</v>
      </c>
      <c r="O129" t="s">
        <v>219</v>
      </c>
      <c r="P129" t="s">
        <v>219</v>
      </c>
      <c r="Q129">
        <v>1</v>
      </c>
      <c r="W129">
        <v>0</v>
      </c>
      <c r="X129">
        <v>460608579</v>
      </c>
      <c r="Y129">
        <v>0.02</v>
      </c>
      <c r="AA129">
        <v>186.89</v>
      </c>
      <c r="AB129">
        <v>0</v>
      </c>
      <c r="AC129">
        <v>0</v>
      </c>
      <c r="AD129">
        <v>0</v>
      </c>
      <c r="AE129">
        <v>36.29</v>
      </c>
      <c r="AF129">
        <v>0</v>
      </c>
      <c r="AG129">
        <v>0</v>
      </c>
      <c r="AH129">
        <v>0</v>
      </c>
      <c r="AI129">
        <v>5.15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S129" t="s">
        <v>3</v>
      </c>
      <c r="AT129">
        <v>0.02</v>
      </c>
      <c r="AU129" t="s">
        <v>3</v>
      </c>
      <c r="AV129">
        <v>0</v>
      </c>
      <c r="AW129">
        <v>2</v>
      </c>
      <c r="AX129">
        <v>47920930</v>
      </c>
      <c r="AY129">
        <v>1</v>
      </c>
      <c r="AZ129">
        <v>0</v>
      </c>
      <c r="BA129">
        <v>129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Y129*Source!I97</f>
        <v>0.12</v>
      </c>
      <c r="CY129">
        <f t="shared" si="20"/>
        <v>186.89</v>
      </c>
      <c r="CZ129">
        <f t="shared" si="21"/>
        <v>36.29</v>
      </c>
      <c r="DA129">
        <f t="shared" si="22"/>
        <v>5.15</v>
      </c>
      <c r="DB129">
        <f t="shared" si="23"/>
        <v>0.73</v>
      </c>
      <c r="DC129">
        <f t="shared" si="24"/>
        <v>0</v>
      </c>
    </row>
    <row r="130" spans="1:107">
      <c r="A130">
        <f>ROW(Source!A97)</f>
        <v>97</v>
      </c>
      <c r="B130">
        <v>47920234</v>
      </c>
      <c r="C130">
        <v>47920910</v>
      </c>
      <c r="D130">
        <v>13663279</v>
      </c>
      <c r="E130">
        <v>1</v>
      </c>
      <c r="F130">
        <v>1</v>
      </c>
      <c r="G130">
        <v>1</v>
      </c>
      <c r="H130">
        <v>3</v>
      </c>
      <c r="I130" t="s">
        <v>585</v>
      </c>
      <c r="J130" t="s">
        <v>586</v>
      </c>
      <c r="K130" t="s">
        <v>587</v>
      </c>
      <c r="L130">
        <v>1346</v>
      </c>
      <c r="N130">
        <v>1009</v>
      </c>
      <c r="O130" t="s">
        <v>219</v>
      </c>
      <c r="P130" t="s">
        <v>219</v>
      </c>
      <c r="Q130">
        <v>1</v>
      </c>
      <c r="W130">
        <v>0</v>
      </c>
      <c r="X130">
        <v>1969673821</v>
      </c>
      <c r="Y130">
        <v>5.0000000000000001E-3</v>
      </c>
      <c r="AA130">
        <v>276.56</v>
      </c>
      <c r="AB130">
        <v>0</v>
      </c>
      <c r="AC130">
        <v>0</v>
      </c>
      <c r="AD130">
        <v>0</v>
      </c>
      <c r="AE130">
        <v>53.7</v>
      </c>
      <c r="AF130">
        <v>0</v>
      </c>
      <c r="AG130">
        <v>0</v>
      </c>
      <c r="AH130">
        <v>0</v>
      </c>
      <c r="AI130">
        <v>5.15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S130" t="s">
        <v>3</v>
      </c>
      <c r="AT130">
        <v>5.0000000000000001E-3</v>
      </c>
      <c r="AU130" t="s">
        <v>3</v>
      </c>
      <c r="AV130">
        <v>0</v>
      </c>
      <c r="AW130">
        <v>2</v>
      </c>
      <c r="AX130">
        <v>47920931</v>
      </c>
      <c r="AY130">
        <v>1</v>
      </c>
      <c r="AZ130">
        <v>0</v>
      </c>
      <c r="BA130">
        <v>130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Y130*Source!I97</f>
        <v>0.03</v>
      </c>
      <c r="CY130">
        <f t="shared" si="20"/>
        <v>276.56</v>
      </c>
      <c r="CZ130">
        <f t="shared" si="21"/>
        <v>53.7</v>
      </c>
      <c r="DA130">
        <f t="shared" si="22"/>
        <v>5.15</v>
      </c>
      <c r="DB130">
        <f t="shared" si="23"/>
        <v>0.27</v>
      </c>
      <c r="DC130">
        <f t="shared" si="24"/>
        <v>0</v>
      </c>
    </row>
    <row r="131" spans="1:107">
      <c r="A131">
        <f>ROW(Source!A97)</f>
        <v>97</v>
      </c>
      <c r="B131">
        <v>47920234</v>
      </c>
      <c r="C131">
        <v>47920910</v>
      </c>
      <c r="D131">
        <v>13758332</v>
      </c>
      <c r="E131">
        <v>1</v>
      </c>
      <c r="F131">
        <v>1</v>
      </c>
      <c r="G131">
        <v>1</v>
      </c>
      <c r="H131">
        <v>3</v>
      </c>
      <c r="I131" t="s">
        <v>509</v>
      </c>
      <c r="J131" t="s">
        <v>510</v>
      </c>
      <c r="K131" t="s">
        <v>511</v>
      </c>
      <c r="L131">
        <v>1374</v>
      </c>
      <c r="N131">
        <v>1013</v>
      </c>
      <c r="O131" t="s">
        <v>512</v>
      </c>
      <c r="P131" t="s">
        <v>512</v>
      </c>
      <c r="Q131">
        <v>1</v>
      </c>
      <c r="W131">
        <v>0</v>
      </c>
      <c r="X131">
        <v>1723657366</v>
      </c>
      <c r="Y131">
        <v>0.26</v>
      </c>
      <c r="AA131">
        <v>5.15</v>
      </c>
      <c r="AB131">
        <v>0</v>
      </c>
      <c r="AC131">
        <v>0</v>
      </c>
      <c r="AD131">
        <v>0</v>
      </c>
      <c r="AE131">
        <v>1</v>
      </c>
      <c r="AF131">
        <v>0</v>
      </c>
      <c r="AG131">
        <v>0</v>
      </c>
      <c r="AH131">
        <v>0</v>
      </c>
      <c r="AI131">
        <v>5.15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0</v>
      </c>
      <c r="AQ131">
        <v>0</v>
      </c>
      <c r="AR131">
        <v>0</v>
      </c>
      <c r="AS131" t="s">
        <v>3</v>
      </c>
      <c r="AT131">
        <v>0.26</v>
      </c>
      <c r="AU131" t="s">
        <v>3</v>
      </c>
      <c r="AV131">
        <v>0</v>
      </c>
      <c r="AW131">
        <v>2</v>
      </c>
      <c r="AX131">
        <v>47920932</v>
      </c>
      <c r="AY131">
        <v>1</v>
      </c>
      <c r="AZ131">
        <v>0</v>
      </c>
      <c r="BA131">
        <v>131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Y131*Source!I97</f>
        <v>1.56</v>
      </c>
      <c r="CY131">
        <f t="shared" si="20"/>
        <v>5.15</v>
      </c>
      <c r="CZ131">
        <f t="shared" si="21"/>
        <v>1</v>
      </c>
      <c r="DA131">
        <f t="shared" si="22"/>
        <v>5.15</v>
      </c>
      <c r="DB131">
        <f t="shared" si="23"/>
        <v>0.26</v>
      </c>
      <c r="DC131">
        <f t="shared" si="24"/>
        <v>0</v>
      </c>
    </row>
    <row r="132" spans="1:107">
      <c r="A132">
        <f>ROW(Source!A142)</f>
        <v>142</v>
      </c>
      <c r="B132">
        <v>47920234</v>
      </c>
      <c r="C132">
        <v>47921068</v>
      </c>
      <c r="D132">
        <v>9915216</v>
      </c>
      <c r="E132">
        <v>1</v>
      </c>
      <c r="F132">
        <v>1</v>
      </c>
      <c r="G132">
        <v>1</v>
      </c>
      <c r="H132">
        <v>1</v>
      </c>
      <c r="I132" t="s">
        <v>588</v>
      </c>
      <c r="J132" t="s">
        <v>3</v>
      </c>
      <c r="K132" t="s">
        <v>589</v>
      </c>
      <c r="L132">
        <v>1191</v>
      </c>
      <c r="N132">
        <v>1013</v>
      </c>
      <c r="O132" t="s">
        <v>460</v>
      </c>
      <c r="P132" t="s">
        <v>460</v>
      </c>
      <c r="Q132">
        <v>1</v>
      </c>
      <c r="W132">
        <v>0</v>
      </c>
      <c r="X132">
        <v>2090797448</v>
      </c>
      <c r="Y132">
        <v>9.9700000000000006</v>
      </c>
      <c r="AA132">
        <v>0</v>
      </c>
      <c r="AB132">
        <v>0</v>
      </c>
      <c r="AC132">
        <v>0</v>
      </c>
      <c r="AD132">
        <v>291.33</v>
      </c>
      <c r="AE132">
        <v>0</v>
      </c>
      <c r="AF132">
        <v>0</v>
      </c>
      <c r="AG132">
        <v>0</v>
      </c>
      <c r="AH132">
        <v>10.07</v>
      </c>
      <c r="AI132">
        <v>1</v>
      </c>
      <c r="AJ132">
        <v>1</v>
      </c>
      <c r="AK132">
        <v>1</v>
      </c>
      <c r="AL132">
        <v>28.93</v>
      </c>
      <c r="AN132">
        <v>0</v>
      </c>
      <c r="AO132">
        <v>1</v>
      </c>
      <c r="AP132">
        <v>1</v>
      </c>
      <c r="AQ132">
        <v>0</v>
      </c>
      <c r="AR132">
        <v>0</v>
      </c>
      <c r="AS132" t="s">
        <v>3</v>
      </c>
      <c r="AT132">
        <v>9.9700000000000006</v>
      </c>
      <c r="AU132" t="s">
        <v>3</v>
      </c>
      <c r="AV132">
        <v>1</v>
      </c>
      <c r="AW132">
        <v>2</v>
      </c>
      <c r="AX132">
        <v>47921077</v>
      </c>
      <c r="AY132">
        <v>1</v>
      </c>
      <c r="AZ132">
        <v>0</v>
      </c>
      <c r="BA132">
        <v>132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Y132*Source!I142</f>
        <v>11.166400000000001</v>
      </c>
      <c r="CY132">
        <f>AD132</f>
        <v>291.33</v>
      </c>
      <c r="CZ132">
        <f>AH132</f>
        <v>10.07</v>
      </c>
      <c r="DA132">
        <f>AL132</f>
        <v>28.93</v>
      </c>
      <c r="DB132">
        <f t="shared" si="23"/>
        <v>100.4</v>
      </c>
      <c r="DC132">
        <f t="shared" si="24"/>
        <v>0</v>
      </c>
    </row>
    <row r="133" spans="1:107">
      <c r="A133">
        <f>ROW(Source!A142)</f>
        <v>142</v>
      </c>
      <c r="B133">
        <v>47920234</v>
      </c>
      <c r="C133">
        <v>47921068</v>
      </c>
      <c r="D133">
        <v>121548</v>
      </c>
      <c r="E133">
        <v>1</v>
      </c>
      <c r="F133">
        <v>1</v>
      </c>
      <c r="G133">
        <v>1</v>
      </c>
      <c r="H133">
        <v>1</v>
      </c>
      <c r="I133" t="s">
        <v>26</v>
      </c>
      <c r="J133" t="s">
        <v>3</v>
      </c>
      <c r="K133" t="s">
        <v>461</v>
      </c>
      <c r="L133">
        <v>608254</v>
      </c>
      <c r="N133">
        <v>1013</v>
      </c>
      <c r="O133" t="s">
        <v>462</v>
      </c>
      <c r="P133" t="s">
        <v>462</v>
      </c>
      <c r="Q133">
        <v>1</v>
      </c>
      <c r="W133">
        <v>0</v>
      </c>
      <c r="X133">
        <v>-185737400</v>
      </c>
      <c r="Y133">
        <v>10.01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1</v>
      </c>
      <c r="AJ133">
        <v>1</v>
      </c>
      <c r="AK133">
        <v>28.93</v>
      </c>
      <c r="AL133">
        <v>1</v>
      </c>
      <c r="AN133">
        <v>0</v>
      </c>
      <c r="AO133">
        <v>1</v>
      </c>
      <c r="AP133">
        <v>1</v>
      </c>
      <c r="AQ133">
        <v>0</v>
      </c>
      <c r="AR133">
        <v>0</v>
      </c>
      <c r="AS133" t="s">
        <v>3</v>
      </c>
      <c r="AT133">
        <v>10.01</v>
      </c>
      <c r="AU133" t="s">
        <v>3</v>
      </c>
      <c r="AV133">
        <v>2</v>
      </c>
      <c r="AW133">
        <v>2</v>
      </c>
      <c r="AX133">
        <v>47921078</v>
      </c>
      <c r="AY133">
        <v>1</v>
      </c>
      <c r="AZ133">
        <v>0</v>
      </c>
      <c r="BA133">
        <v>133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Y133*Source!I142</f>
        <v>11.211200000000002</v>
      </c>
      <c r="CY133">
        <f>AD133</f>
        <v>0</v>
      </c>
      <c r="CZ133">
        <f>AH133</f>
        <v>0</v>
      </c>
      <c r="DA133">
        <f>AL133</f>
        <v>1</v>
      </c>
      <c r="DB133">
        <f t="shared" si="23"/>
        <v>0</v>
      </c>
      <c r="DC133">
        <f t="shared" si="24"/>
        <v>0</v>
      </c>
    </row>
    <row r="134" spans="1:107">
      <c r="A134">
        <f>ROW(Source!A142)</f>
        <v>142</v>
      </c>
      <c r="B134">
        <v>47920234</v>
      </c>
      <c r="C134">
        <v>47921068</v>
      </c>
      <c r="D134">
        <v>13554563</v>
      </c>
      <c r="E134">
        <v>1</v>
      </c>
      <c r="F134">
        <v>1</v>
      </c>
      <c r="G134">
        <v>1</v>
      </c>
      <c r="H134">
        <v>2</v>
      </c>
      <c r="I134" t="s">
        <v>590</v>
      </c>
      <c r="J134" t="s">
        <v>591</v>
      </c>
      <c r="K134" t="s">
        <v>592</v>
      </c>
      <c r="L134">
        <v>1368</v>
      </c>
      <c r="N134">
        <v>1011</v>
      </c>
      <c r="O134" t="s">
        <v>468</v>
      </c>
      <c r="P134" t="s">
        <v>468</v>
      </c>
      <c r="Q134">
        <v>1</v>
      </c>
      <c r="W134">
        <v>0</v>
      </c>
      <c r="X134">
        <v>-1587458223</v>
      </c>
      <c r="Y134">
        <v>1.42</v>
      </c>
      <c r="AA134">
        <v>0</v>
      </c>
      <c r="AB134">
        <v>1001.59</v>
      </c>
      <c r="AC134">
        <v>379.56</v>
      </c>
      <c r="AD134">
        <v>0</v>
      </c>
      <c r="AE134">
        <v>0</v>
      </c>
      <c r="AF134">
        <v>129.74</v>
      </c>
      <c r="AG134">
        <v>13.12</v>
      </c>
      <c r="AH134">
        <v>0</v>
      </c>
      <c r="AI134">
        <v>1</v>
      </c>
      <c r="AJ134">
        <v>7.72</v>
      </c>
      <c r="AK134">
        <v>28.93</v>
      </c>
      <c r="AL134">
        <v>1</v>
      </c>
      <c r="AN134">
        <v>0</v>
      </c>
      <c r="AO134">
        <v>1</v>
      </c>
      <c r="AP134">
        <v>1</v>
      </c>
      <c r="AQ134">
        <v>0</v>
      </c>
      <c r="AR134">
        <v>0</v>
      </c>
      <c r="AS134" t="s">
        <v>3</v>
      </c>
      <c r="AT134">
        <v>1.42</v>
      </c>
      <c r="AU134" t="s">
        <v>3</v>
      </c>
      <c r="AV134">
        <v>0</v>
      </c>
      <c r="AW134">
        <v>2</v>
      </c>
      <c r="AX134">
        <v>47921079</v>
      </c>
      <c r="AY134">
        <v>1</v>
      </c>
      <c r="AZ134">
        <v>0</v>
      </c>
      <c r="BA134">
        <v>134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Y134*Source!I142</f>
        <v>1.5904</v>
      </c>
      <c r="CY134">
        <f>AB134</f>
        <v>1001.59</v>
      </c>
      <c r="CZ134">
        <f>AF134</f>
        <v>129.74</v>
      </c>
      <c r="DA134">
        <f>AJ134</f>
        <v>7.72</v>
      </c>
      <c r="DB134">
        <f t="shared" si="23"/>
        <v>184.23</v>
      </c>
      <c r="DC134">
        <f t="shared" si="24"/>
        <v>18.63</v>
      </c>
    </row>
    <row r="135" spans="1:107">
      <c r="A135">
        <f>ROW(Source!A142)</f>
        <v>142</v>
      </c>
      <c r="B135">
        <v>47920234</v>
      </c>
      <c r="C135">
        <v>47921068</v>
      </c>
      <c r="D135">
        <v>13554783</v>
      </c>
      <c r="E135">
        <v>1</v>
      </c>
      <c r="F135">
        <v>1</v>
      </c>
      <c r="G135">
        <v>1</v>
      </c>
      <c r="H135">
        <v>2</v>
      </c>
      <c r="I135" t="s">
        <v>593</v>
      </c>
      <c r="J135" t="s">
        <v>594</v>
      </c>
      <c r="K135" t="s">
        <v>595</v>
      </c>
      <c r="L135">
        <v>1368</v>
      </c>
      <c r="N135">
        <v>1011</v>
      </c>
      <c r="O135" t="s">
        <v>468</v>
      </c>
      <c r="P135" t="s">
        <v>468</v>
      </c>
      <c r="Q135">
        <v>1</v>
      </c>
      <c r="W135">
        <v>0</v>
      </c>
      <c r="X135">
        <v>-982097504</v>
      </c>
      <c r="Y135">
        <v>0.63</v>
      </c>
      <c r="AA135">
        <v>0</v>
      </c>
      <c r="AB135">
        <v>5.4</v>
      </c>
      <c r="AC135">
        <v>0</v>
      </c>
      <c r="AD135">
        <v>0</v>
      </c>
      <c r="AE135">
        <v>0</v>
      </c>
      <c r="AF135">
        <v>0.7</v>
      </c>
      <c r="AG135">
        <v>0</v>
      </c>
      <c r="AH135">
        <v>0</v>
      </c>
      <c r="AI135">
        <v>1</v>
      </c>
      <c r="AJ135">
        <v>7.72</v>
      </c>
      <c r="AK135">
        <v>28.93</v>
      </c>
      <c r="AL135">
        <v>1</v>
      </c>
      <c r="AN135">
        <v>0</v>
      </c>
      <c r="AO135">
        <v>1</v>
      </c>
      <c r="AP135">
        <v>1</v>
      </c>
      <c r="AQ135">
        <v>0</v>
      </c>
      <c r="AR135">
        <v>0</v>
      </c>
      <c r="AS135" t="s">
        <v>3</v>
      </c>
      <c r="AT135">
        <v>0.63</v>
      </c>
      <c r="AU135" t="s">
        <v>3</v>
      </c>
      <c r="AV135">
        <v>0</v>
      </c>
      <c r="AW135">
        <v>2</v>
      </c>
      <c r="AX135">
        <v>47921080</v>
      </c>
      <c r="AY135">
        <v>1</v>
      </c>
      <c r="AZ135">
        <v>0</v>
      </c>
      <c r="BA135">
        <v>135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Y135*Source!I142</f>
        <v>0.70560000000000012</v>
      </c>
      <c r="CY135">
        <f>AB135</f>
        <v>5.4</v>
      </c>
      <c r="CZ135">
        <f>AF135</f>
        <v>0.7</v>
      </c>
      <c r="DA135">
        <f>AJ135</f>
        <v>7.72</v>
      </c>
      <c r="DB135">
        <f t="shared" si="23"/>
        <v>0.44</v>
      </c>
      <c r="DC135">
        <f t="shared" si="24"/>
        <v>0</v>
      </c>
    </row>
    <row r="136" spans="1:107">
      <c r="A136">
        <f>ROW(Source!A142)</f>
        <v>142</v>
      </c>
      <c r="B136">
        <v>47920234</v>
      </c>
      <c r="C136">
        <v>47921068</v>
      </c>
      <c r="D136">
        <v>13554786</v>
      </c>
      <c r="E136">
        <v>1</v>
      </c>
      <c r="F136">
        <v>1</v>
      </c>
      <c r="G136">
        <v>1</v>
      </c>
      <c r="H136">
        <v>2</v>
      </c>
      <c r="I136" t="s">
        <v>480</v>
      </c>
      <c r="J136" t="s">
        <v>481</v>
      </c>
      <c r="K136" t="s">
        <v>482</v>
      </c>
      <c r="L136">
        <v>1368</v>
      </c>
      <c r="N136">
        <v>1011</v>
      </c>
      <c r="O136" t="s">
        <v>468</v>
      </c>
      <c r="P136" t="s">
        <v>468</v>
      </c>
      <c r="Q136">
        <v>1</v>
      </c>
      <c r="W136">
        <v>0</v>
      </c>
      <c r="X136">
        <v>1515030893</v>
      </c>
      <c r="Y136">
        <v>0.5</v>
      </c>
      <c r="AA136">
        <v>0</v>
      </c>
      <c r="AB136">
        <v>236.93</v>
      </c>
      <c r="AC136">
        <v>326.33</v>
      </c>
      <c r="AD136">
        <v>0</v>
      </c>
      <c r="AE136">
        <v>0</v>
      </c>
      <c r="AF136">
        <v>30.69</v>
      </c>
      <c r="AG136">
        <v>11.28</v>
      </c>
      <c r="AH136">
        <v>0</v>
      </c>
      <c r="AI136">
        <v>1</v>
      </c>
      <c r="AJ136">
        <v>7.72</v>
      </c>
      <c r="AK136">
        <v>28.93</v>
      </c>
      <c r="AL136">
        <v>1</v>
      </c>
      <c r="AN136">
        <v>0</v>
      </c>
      <c r="AO136">
        <v>1</v>
      </c>
      <c r="AP136">
        <v>1</v>
      </c>
      <c r="AQ136">
        <v>0</v>
      </c>
      <c r="AR136">
        <v>0</v>
      </c>
      <c r="AS136" t="s">
        <v>3</v>
      </c>
      <c r="AT136">
        <v>0.5</v>
      </c>
      <c r="AU136" t="s">
        <v>3</v>
      </c>
      <c r="AV136">
        <v>0</v>
      </c>
      <c r="AW136">
        <v>2</v>
      </c>
      <c r="AX136">
        <v>47921081</v>
      </c>
      <c r="AY136">
        <v>1</v>
      </c>
      <c r="AZ136">
        <v>0</v>
      </c>
      <c r="BA136">
        <v>136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Y136*Source!I142</f>
        <v>0.56000000000000005</v>
      </c>
      <c r="CY136">
        <f>AB136</f>
        <v>236.93</v>
      </c>
      <c r="CZ136">
        <f>AF136</f>
        <v>30.69</v>
      </c>
      <c r="DA136">
        <f>AJ136</f>
        <v>7.72</v>
      </c>
      <c r="DB136">
        <f t="shared" si="23"/>
        <v>15.35</v>
      </c>
      <c r="DC136">
        <f t="shared" si="24"/>
        <v>5.64</v>
      </c>
    </row>
    <row r="137" spans="1:107">
      <c r="A137">
        <f>ROW(Source!A142)</f>
        <v>142</v>
      </c>
      <c r="B137">
        <v>47920234</v>
      </c>
      <c r="C137">
        <v>47921068</v>
      </c>
      <c r="D137">
        <v>13555345</v>
      </c>
      <c r="E137">
        <v>1</v>
      </c>
      <c r="F137">
        <v>1</v>
      </c>
      <c r="G137">
        <v>1</v>
      </c>
      <c r="H137">
        <v>2</v>
      </c>
      <c r="I137" t="s">
        <v>596</v>
      </c>
      <c r="J137" t="s">
        <v>597</v>
      </c>
      <c r="K137" t="s">
        <v>598</v>
      </c>
      <c r="L137">
        <v>1368</v>
      </c>
      <c r="N137">
        <v>1011</v>
      </c>
      <c r="O137" t="s">
        <v>468</v>
      </c>
      <c r="P137" t="s">
        <v>468</v>
      </c>
      <c r="Q137">
        <v>1</v>
      </c>
      <c r="W137">
        <v>0</v>
      </c>
      <c r="X137">
        <v>-249495239</v>
      </c>
      <c r="Y137">
        <v>0.59</v>
      </c>
      <c r="AA137">
        <v>0</v>
      </c>
      <c r="AB137">
        <v>1040.58</v>
      </c>
      <c r="AC137">
        <v>326.33</v>
      </c>
      <c r="AD137">
        <v>0</v>
      </c>
      <c r="AE137">
        <v>0</v>
      </c>
      <c r="AF137">
        <v>134.79</v>
      </c>
      <c r="AG137">
        <v>11.28</v>
      </c>
      <c r="AH137">
        <v>0</v>
      </c>
      <c r="AI137">
        <v>1</v>
      </c>
      <c r="AJ137">
        <v>7.72</v>
      </c>
      <c r="AK137">
        <v>28.93</v>
      </c>
      <c r="AL137">
        <v>1</v>
      </c>
      <c r="AN137">
        <v>0</v>
      </c>
      <c r="AO137">
        <v>1</v>
      </c>
      <c r="AP137">
        <v>1</v>
      </c>
      <c r="AQ137">
        <v>0</v>
      </c>
      <c r="AR137">
        <v>0</v>
      </c>
      <c r="AS137" t="s">
        <v>3</v>
      </c>
      <c r="AT137">
        <v>0.59</v>
      </c>
      <c r="AU137" t="s">
        <v>3</v>
      </c>
      <c r="AV137">
        <v>0</v>
      </c>
      <c r="AW137">
        <v>2</v>
      </c>
      <c r="AX137">
        <v>47921082</v>
      </c>
      <c r="AY137">
        <v>1</v>
      </c>
      <c r="AZ137">
        <v>0</v>
      </c>
      <c r="BA137">
        <v>137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Y137*Source!I142</f>
        <v>0.66080000000000005</v>
      </c>
      <c r="CY137">
        <f>AB137</f>
        <v>1040.58</v>
      </c>
      <c r="CZ137">
        <f>AF137</f>
        <v>134.79</v>
      </c>
      <c r="DA137">
        <f>AJ137</f>
        <v>7.72</v>
      </c>
      <c r="DB137">
        <f t="shared" si="23"/>
        <v>79.53</v>
      </c>
      <c r="DC137">
        <f t="shared" si="24"/>
        <v>6.66</v>
      </c>
    </row>
    <row r="138" spans="1:107">
      <c r="A138">
        <f>ROW(Source!A142)</f>
        <v>142</v>
      </c>
      <c r="B138">
        <v>47920234</v>
      </c>
      <c r="C138">
        <v>47921068</v>
      </c>
      <c r="D138">
        <v>13556265</v>
      </c>
      <c r="E138">
        <v>1</v>
      </c>
      <c r="F138">
        <v>1</v>
      </c>
      <c r="G138">
        <v>1</v>
      </c>
      <c r="H138">
        <v>2</v>
      </c>
      <c r="I138" t="s">
        <v>599</v>
      </c>
      <c r="J138" t="s">
        <v>600</v>
      </c>
      <c r="K138" t="s">
        <v>601</v>
      </c>
      <c r="L138">
        <v>1368</v>
      </c>
      <c r="N138">
        <v>1011</v>
      </c>
      <c r="O138" t="s">
        <v>468</v>
      </c>
      <c r="P138" t="s">
        <v>468</v>
      </c>
      <c r="Q138">
        <v>1</v>
      </c>
      <c r="W138">
        <v>0</v>
      </c>
      <c r="X138">
        <v>620179637</v>
      </c>
      <c r="Y138">
        <v>7.5</v>
      </c>
      <c r="AA138">
        <v>0</v>
      </c>
      <c r="AB138">
        <v>12792.04</v>
      </c>
      <c r="AC138">
        <v>433.66</v>
      </c>
      <c r="AD138">
        <v>0</v>
      </c>
      <c r="AE138">
        <v>0</v>
      </c>
      <c r="AF138">
        <v>1657</v>
      </c>
      <c r="AG138">
        <v>14.99</v>
      </c>
      <c r="AH138">
        <v>0</v>
      </c>
      <c r="AI138">
        <v>1</v>
      </c>
      <c r="AJ138">
        <v>7.72</v>
      </c>
      <c r="AK138">
        <v>28.93</v>
      </c>
      <c r="AL138">
        <v>1</v>
      </c>
      <c r="AN138">
        <v>0</v>
      </c>
      <c r="AO138">
        <v>1</v>
      </c>
      <c r="AP138">
        <v>1</v>
      </c>
      <c r="AQ138">
        <v>0</v>
      </c>
      <c r="AR138">
        <v>0</v>
      </c>
      <c r="AS138" t="s">
        <v>3</v>
      </c>
      <c r="AT138">
        <v>7.5</v>
      </c>
      <c r="AU138" t="s">
        <v>3</v>
      </c>
      <c r="AV138">
        <v>0</v>
      </c>
      <c r="AW138">
        <v>2</v>
      </c>
      <c r="AX138">
        <v>47921083</v>
      </c>
      <c r="AY138">
        <v>1</v>
      </c>
      <c r="AZ138">
        <v>0</v>
      </c>
      <c r="BA138">
        <v>138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Y138*Source!I142</f>
        <v>8.4</v>
      </c>
      <c r="CY138">
        <f>AB138</f>
        <v>12792.04</v>
      </c>
      <c r="CZ138">
        <f>AF138</f>
        <v>1657</v>
      </c>
      <c r="DA138">
        <f>AJ138</f>
        <v>7.72</v>
      </c>
      <c r="DB138">
        <f t="shared" si="23"/>
        <v>12427.5</v>
      </c>
      <c r="DC138">
        <f t="shared" si="24"/>
        <v>112.43</v>
      </c>
    </row>
    <row r="139" spans="1:107">
      <c r="A139">
        <f>ROW(Source!A142)</f>
        <v>142</v>
      </c>
      <c r="B139">
        <v>47920234</v>
      </c>
      <c r="C139">
        <v>47921068</v>
      </c>
      <c r="D139">
        <v>13637754</v>
      </c>
      <c r="E139">
        <v>1</v>
      </c>
      <c r="F139">
        <v>1</v>
      </c>
      <c r="G139">
        <v>1</v>
      </c>
      <c r="H139">
        <v>3</v>
      </c>
      <c r="I139" t="s">
        <v>496</v>
      </c>
      <c r="J139" t="s">
        <v>497</v>
      </c>
      <c r="K139" t="s">
        <v>498</v>
      </c>
      <c r="L139">
        <v>1339</v>
      </c>
      <c r="N139">
        <v>1007</v>
      </c>
      <c r="O139" t="s">
        <v>298</v>
      </c>
      <c r="P139" t="s">
        <v>298</v>
      </c>
      <c r="Q139">
        <v>1</v>
      </c>
      <c r="W139">
        <v>0</v>
      </c>
      <c r="X139">
        <v>-129011492</v>
      </c>
      <c r="Y139">
        <v>1.53</v>
      </c>
      <c r="AA139">
        <v>32.450000000000003</v>
      </c>
      <c r="AB139">
        <v>0</v>
      </c>
      <c r="AC139">
        <v>0</v>
      </c>
      <c r="AD139">
        <v>0</v>
      </c>
      <c r="AE139">
        <v>6.3</v>
      </c>
      <c r="AF139">
        <v>0</v>
      </c>
      <c r="AG139">
        <v>0</v>
      </c>
      <c r="AH139">
        <v>0</v>
      </c>
      <c r="AI139">
        <v>5.15</v>
      </c>
      <c r="AJ139">
        <v>1</v>
      </c>
      <c r="AK139">
        <v>1</v>
      </c>
      <c r="AL139">
        <v>1</v>
      </c>
      <c r="AN139">
        <v>0</v>
      </c>
      <c r="AO139">
        <v>1</v>
      </c>
      <c r="AP139">
        <v>0</v>
      </c>
      <c r="AQ139">
        <v>0</v>
      </c>
      <c r="AR139">
        <v>0</v>
      </c>
      <c r="AS139" t="s">
        <v>3</v>
      </c>
      <c r="AT139">
        <v>1.53</v>
      </c>
      <c r="AU139" t="s">
        <v>3</v>
      </c>
      <c r="AV139">
        <v>0</v>
      </c>
      <c r="AW139">
        <v>2</v>
      </c>
      <c r="AX139">
        <v>47921086</v>
      </c>
      <c r="AY139">
        <v>1</v>
      </c>
      <c r="AZ139">
        <v>0</v>
      </c>
      <c r="BA139">
        <v>141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Y139*Source!I142</f>
        <v>1.7136000000000002</v>
      </c>
      <c r="CY139">
        <f>AA139</f>
        <v>32.450000000000003</v>
      </c>
      <c r="CZ139">
        <f>AE139</f>
        <v>6.3</v>
      </c>
      <c r="DA139">
        <f>AI139</f>
        <v>5.15</v>
      </c>
      <c r="DB139">
        <f t="shared" si="23"/>
        <v>9.64</v>
      </c>
      <c r="DC139">
        <f t="shared" si="24"/>
        <v>0</v>
      </c>
    </row>
    <row r="140" spans="1:107">
      <c r="A140">
        <f>ROW(Source!A143)</f>
        <v>143</v>
      </c>
      <c r="B140">
        <v>47920234</v>
      </c>
      <c r="C140">
        <v>47921087</v>
      </c>
      <c r="D140">
        <v>9914991</v>
      </c>
      <c r="E140">
        <v>1</v>
      </c>
      <c r="F140">
        <v>1</v>
      </c>
      <c r="G140">
        <v>1</v>
      </c>
      <c r="H140">
        <v>1</v>
      </c>
      <c r="I140" t="s">
        <v>602</v>
      </c>
      <c r="J140" t="s">
        <v>3</v>
      </c>
      <c r="K140" t="s">
        <v>603</v>
      </c>
      <c r="L140">
        <v>1191</v>
      </c>
      <c r="N140">
        <v>1013</v>
      </c>
      <c r="O140" t="s">
        <v>460</v>
      </c>
      <c r="P140" t="s">
        <v>460</v>
      </c>
      <c r="Q140">
        <v>1</v>
      </c>
      <c r="W140">
        <v>0</v>
      </c>
      <c r="X140">
        <v>-254814506</v>
      </c>
      <c r="Y140">
        <v>41.210432999999995</v>
      </c>
      <c r="AA140">
        <v>0</v>
      </c>
      <c r="AB140">
        <v>0</v>
      </c>
      <c r="AC140">
        <v>0</v>
      </c>
      <c r="AD140">
        <v>282.94</v>
      </c>
      <c r="AE140">
        <v>0</v>
      </c>
      <c r="AF140">
        <v>0</v>
      </c>
      <c r="AG140">
        <v>0</v>
      </c>
      <c r="AH140">
        <v>9.7799999999999994</v>
      </c>
      <c r="AI140">
        <v>1</v>
      </c>
      <c r="AJ140">
        <v>1</v>
      </c>
      <c r="AK140">
        <v>1</v>
      </c>
      <c r="AL140">
        <v>28.93</v>
      </c>
      <c r="AN140">
        <v>0</v>
      </c>
      <c r="AO140">
        <v>1</v>
      </c>
      <c r="AP140">
        <v>1</v>
      </c>
      <c r="AQ140">
        <v>0</v>
      </c>
      <c r="AR140">
        <v>0</v>
      </c>
      <c r="AS140" t="s">
        <v>3</v>
      </c>
      <c r="AT140">
        <v>83.71</v>
      </c>
      <c r="AU140" t="s">
        <v>241</v>
      </c>
      <c r="AV140">
        <v>1</v>
      </c>
      <c r="AW140">
        <v>2</v>
      </c>
      <c r="AX140">
        <v>47921102</v>
      </c>
      <c r="AY140">
        <v>1</v>
      </c>
      <c r="AZ140">
        <v>0</v>
      </c>
      <c r="BA140">
        <v>142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Y140*Source!I143</f>
        <v>46.155684959999995</v>
      </c>
      <c r="CY140">
        <f>AD140</f>
        <v>282.94</v>
      </c>
      <c r="CZ140">
        <f>AH140</f>
        <v>9.7799999999999994</v>
      </c>
      <c r="DA140">
        <f>AL140</f>
        <v>28.93</v>
      </c>
      <c r="DB140">
        <f t="shared" ref="DB140:DB149" si="25">ROUND((ROUND(AT140*CZ140,2)*ROUND(0.4923,7)),2)</f>
        <v>403.04</v>
      </c>
      <c r="DC140">
        <f t="shared" ref="DC140:DC149" si="26">ROUND((ROUND(AT140*AG140,2)*ROUND(0.4923,7)),2)</f>
        <v>0</v>
      </c>
    </row>
    <row r="141" spans="1:107">
      <c r="A141">
        <f>ROW(Source!A143)</f>
        <v>143</v>
      </c>
      <c r="B141">
        <v>47920234</v>
      </c>
      <c r="C141">
        <v>47921087</v>
      </c>
      <c r="D141">
        <v>121548</v>
      </c>
      <c r="E141">
        <v>1</v>
      </c>
      <c r="F141">
        <v>1</v>
      </c>
      <c r="G141">
        <v>1</v>
      </c>
      <c r="H141">
        <v>1</v>
      </c>
      <c r="I141" t="s">
        <v>26</v>
      </c>
      <c r="J141" t="s">
        <v>3</v>
      </c>
      <c r="K141" t="s">
        <v>461</v>
      </c>
      <c r="L141">
        <v>608254</v>
      </c>
      <c r="N141">
        <v>1013</v>
      </c>
      <c r="O141" t="s">
        <v>462</v>
      </c>
      <c r="P141" t="s">
        <v>462</v>
      </c>
      <c r="Q141">
        <v>1</v>
      </c>
      <c r="W141">
        <v>0</v>
      </c>
      <c r="X141">
        <v>-185737400</v>
      </c>
      <c r="Y141">
        <v>35.337294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1</v>
      </c>
      <c r="AJ141">
        <v>1</v>
      </c>
      <c r="AK141">
        <v>28.93</v>
      </c>
      <c r="AL141">
        <v>1</v>
      </c>
      <c r="AN141">
        <v>0</v>
      </c>
      <c r="AO141">
        <v>1</v>
      </c>
      <c r="AP141">
        <v>1</v>
      </c>
      <c r="AQ141">
        <v>0</v>
      </c>
      <c r="AR141">
        <v>0</v>
      </c>
      <c r="AS141" t="s">
        <v>3</v>
      </c>
      <c r="AT141">
        <v>71.78</v>
      </c>
      <c r="AU141" t="s">
        <v>241</v>
      </c>
      <c r="AV141">
        <v>2</v>
      </c>
      <c r="AW141">
        <v>2</v>
      </c>
      <c r="AX141">
        <v>47921103</v>
      </c>
      <c r="AY141">
        <v>1</v>
      </c>
      <c r="AZ141">
        <v>0</v>
      </c>
      <c r="BA141">
        <v>143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Y141*Source!I143</f>
        <v>39.577769280000005</v>
      </c>
      <c r="CY141">
        <f>AD141</f>
        <v>0</v>
      </c>
      <c r="CZ141">
        <f>AH141</f>
        <v>0</v>
      </c>
      <c r="DA141">
        <f>AL141</f>
        <v>1</v>
      </c>
      <c r="DB141">
        <f t="shared" si="25"/>
        <v>0</v>
      </c>
      <c r="DC141">
        <f t="shared" si="26"/>
        <v>0</v>
      </c>
    </row>
    <row r="142" spans="1:107">
      <c r="A142">
        <f>ROW(Source!A143)</f>
        <v>143</v>
      </c>
      <c r="B142">
        <v>47920234</v>
      </c>
      <c r="C142">
        <v>47921087</v>
      </c>
      <c r="D142">
        <v>13554563</v>
      </c>
      <c r="E142">
        <v>1</v>
      </c>
      <c r="F142">
        <v>1</v>
      </c>
      <c r="G142">
        <v>1</v>
      </c>
      <c r="H142">
        <v>2</v>
      </c>
      <c r="I142" t="s">
        <v>590</v>
      </c>
      <c r="J142" t="s">
        <v>591</v>
      </c>
      <c r="K142" t="s">
        <v>592</v>
      </c>
      <c r="L142">
        <v>1368</v>
      </c>
      <c r="N142">
        <v>1011</v>
      </c>
      <c r="O142" t="s">
        <v>468</v>
      </c>
      <c r="P142" t="s">
        <v>468</v>
      </c>
      <c r="Q142">
        <v>1</v>
      </c>
      <c r="W142">
        <v>0</v>
      </c>
      <c r="X142">
        <v>-1587458223</v>
      </c>
      <c r="Y142">
        <v>3.7464030000000004</v>
      </c>
      <c r="AA142">
        <v>0</v>
      </c>
      <c r="AB142">
        <v>1001.59</v>
      </c>
      <c r="AC142">
        <v>379.56</v>
      </c>
      <c r="AD142">
        <v>0</v>
      </c>
      <c r="AE142">
        <v>0</v>
      </c>
      <c r="AF142">
        <v>129.74</v>
      </c>
      <c r="AG142">
        <v>13.12</v>
      </c>
      <c r="AH142">
        <v>0</v>
      </c>
      <c r="AI142">
        <v>1</v>
      </c>
      <c r="AJ142">
        <v>7.72</v>
      </c>
      <c r="AK142">
        <v>28.93</v>
      </c>
      <c r="AL142">
        <v>1</v>
      </c>
      <c r="AN142">
        <v>0</v>
      </c>
      <c r="AO142">
        <v>1</v>
      </c>
      <c r="AP142">
        <v>1</v>
      </c>
      <c r="AQ142">
        <v>0</v>
      </c>
      <c r="AR142">
        <v>0</v>
      </c>
      <c r="AS142" t="s">
        <v>3</v>
      </c>
      <c r="AT142">
        <v>7.61</v>
      </c>
      <c r="AU142" t="s">
        <v>241</v>
      </c>
      <c r="AV142">
        <v>0</v>
      </c>
      <c r="AW142">
        <v>2</v>
      </c>
      <c r="AX142">
        <v>47921104</v>
      </c>
      <c r="AY142">
        <v>1</v>
      </c>
      <c r="AZ142">
        <v>0</v>
      </c>
      <c r="BA142">
        <v>144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Y142*Source!I143</f>
        <v>4.1959713600000006</v>
      </c>
      <c r="CY142">
        <f t="shared" ref="CY142:CY149" si="27">AB142</f>
        <v>1001.59</v>
      </c>
      <c r="CZ142">
        <f t="shared" ref="CZ142:CZ149" si="28">AF142</f>
        <v>129.74</v>
      </c>
      <c r="DA142">
        <f t="shared" ref="DA142:DA149" si="29">AJ142</f>
        <v>7.72</v>
      </c>
      <c r="DB142">
        <f t="shared" si="25"/>
        <v>486.06</v>
      </c>
      <c r="DC142">
        <f t="shared" si="26"/>
        <v>49.15</v>
      </c>
    </row>
    <row r="143" spans="1:107">
      <c r="A143">
        <f>ROW(Source!A143)</f>
        <v>143</v>
      </c>
      <c r="B143">
        <v>47920234</v>
      </c>
      <c r="C143">
        <v>47921087</v>
      </c>
      <c r="D143">
        <v>13554786</v>
      </c>
      <c r="E143">
        <v>1</v>
      </c>
      <c r="F143">
        <v>1</v>
      </c>
      <c r="G143">
        <v>1</v>
      </c>
      <c r="H143">
        <v>2</v>
      </c>
      <c r="I143" t="s">
        <v>480</v>
      </c>
      <c r="J143" t="s">
        <v>481</v>
      </c>
      <c r="K143" t="s">
        <v>482</v>
      </c>
      <c r="L143">
        <v>1368</v>
      </c>
      <c r="N143">
        <v>1011</v>
      </c>
      <c r="O143" t="s">
        <v>468</v>
      </c>
      <c r="P143" t="s">
        <v>468</v>
      </c>
      <c r="Q143">
        <v>1</v>
      </c>
      <c r="W143">
        <v>0</v>
      </c>
      <c r="X143">
        <v>1515030893</v>
      </c>
      <c r="Y143">
        <v>15.472989</v>
      </c>
      <c r="AA143">
        <v>0</v>
      </c>
      <c r="AB143">
        <v>236.93</v>
      </c>
      <c r="AC143">
        <v>326.33</v>
      </c>
      <c r="AD143">
        <v>0</v>
      </c>
      <c r="AE143">
        <v>0</v>
      </c>
      <c r="AF143">
        <v>30.69</v>
      </c>
      <c r="AG143">
        <v>11.28</v>
      </c>
      <c r="AH143">
        <v>0</v>
      </c>
      <c r="AI143">
        <v>1</v>
      </c>
      <c r="AJ143">
        <v>7.72</v>
      </c>
      <c r="AK143">
        <v>28.93</v>
      </c>
      <c r="AL143">
        <v>1</v>
      </c>
      <c r="AN143">
        <v>0</v>
      </c>
      <c r="AO143">
        <v>1</v>
      </c>
      <c r="AP143">
        <v>1</v>
      </c>
      <c r="AQ143">
        <v>0</v>
      </c>
      <c r="AR143">
        <v>0</v>
      </c>
      <c r="AS143" t="s">
        <v>3</v>
      </c>
      <c r="AT143">
        <v>31.43</v>
      </c>
      <c r="AU143" t="s">
        <v>241</v>
      </c>
      <c r="AV143">
        <v>0</v>
      </c>
      <c r="AW143">
        <v>2</v>
      </c>
      <c r="AX143">
        <v>47921105</v>
      </c>
      <c r="AY143">
        <v>1</v>
      </c>
      <c r="AZ143">
        <v>0</v>
      </c>
      <c r="BA143">
        <v>145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Y143*Source!I143</f>
        <v>17.329747680000001</v>
      </c>
      <c r="CY143">
        <f t="shared" si="27"/>
        <v>236.93</v>
      </c>
      <c r="CZ143">
        <f t="shared" si="28"/>
        <v>30.69</v>
      </c>
      <c r="DA143">
        <f t="shared" si="29"/>
        <v>7.72</v>
      </c>
      <c r="DB143">
        <f t="shared" si="25"/>
        <v>474.87</v>
      </c>
      <c r="DC143">
        <f t="shared" si="26"/>
        <v>174.54</v>
      </c>
    </row>
    <row r="144" spans="1:107">
      <c r="A144">
        <f>ROW(Source!A143)</f>
        <v>143</v>
      </c>
      <c r="B144">
        <v>47920234</v>
      </c>
      <c r="C144">
        <v>47921087</v>
      </c>
      <c r="D144">
        <v>13554796</v>
      </c>
      <c r="E144">
        <v>1</v>
      </c>
      <c r="F144">
        <v>1</v>
      </c>
      <c r="G144">
        <v>1</v>
      </c>
      <c r="H144">
        <v>2</v>
      </c>
      <c r="I144" t="s">
        <v>604</v>
      </c>
      <c r="J144" t="s">
        <v>605</v>
      </c>
      <c r="K144" t="s">
        <v>606</v>
      </c>
      <c r="L144">
        <v>1368</v>
      </c>
      <c r="N144">
        <v>1011</v>
      </c>
      <c r="O144" t="s">
        <v>468</v>
      </c>
      <c r="P144" t="s">
        <v>468</v>
      </c>
      <c r="Q144">
        <v>1</v>
      </c>
      <c r="W144">
        <v>0</v>
      </c>
      <c r="X144">
        <v>-1520199522</v>
      </c>
      <c r="Y144">
        <v>11.273669999999999</v>
      </c>
      <c r="AA144">
        <v>0</v>
      </c>
      <c r="AB144">
        <v>108.85</v>
      </c>
      <c r="AC144">
        <v>0</v>
      </c>
      <c r="AD144">
        <v>0</v>
      </c>
      <c r="AE144">
        <v>0</v>
      </c>
      <c r="AF144">
        <v>14.1</v>
      </c>
      <c r="AG144">
        <v>0</v>
      </c>
      <c r="AH144">
        <v>0</v>
      </c>
      <c r="AI144">
        <v>1</v>
      </c>
      <c r="AJ144">
        <v>7.72</v>
      </c>
      <c r="AK144">
        <v>28.93</v>
      </c>
      <c r="AL144">
        <v>1</v>
      </c>
      <c r="AN144">
        <v>0</v>
      </c>
      <c r="AO144">
        <v>1</v>
      </c>
      <c r="AP144">
        <v>1</v>
      </c>
      <c r="AQ144">
        <v>0</v>
      </c>
      <c r="AR144">
        <v>0</v>
      </c>
      <c r="AS144" t="s">
        <v>3</v>
      </c>
      <c r="AT144">
        <v>22.9</v>
      </c>
      <c r="AU144" t="s">
        <v>241</v>
      </c>
      <c r="AV144">
        <v>0</v>
      </c>
      <c r="AW144">
        <v>2</v>
      </c>
      <c r="AX144">
        <v>47921106</v>
      </c>
      <c r="AY144">
        <v>1</v>
      </c>
      <c r="AZ144">
        <v>0</v>
      </c>
      <c r="BA144">
        <v>146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Y144*Source!I143</f>
        <v>12.626510400000001</v>
      </c>
      <c r="CY144">
        <f t="shared" si="27"/>
        <v>108.85</v>
      </c>
      <c r="CZ144">
        <f t="shared" si="28"/>
        <v>14.1</v>
      </c>
      <c r="DA144">
        <f t="shared" si="29"/>
        <v>7.72</v>
      </c>
      <c r="DB144">
        <f t="shared" si="25"/>
        <v>158.96</v>
      </c>
      <c r="DC144">
        <f t="shared" si="26"/>
        <v>0</v>
      </c>
    </row>
    <row r="145" spans="1:107">
      <c r="A145">
        <f>ROW(Source!A143)</f>
        <v>143</v>
      </c>
      <c r="B145">
        <v>47920234</v>
      </c>
      <c r="C145">
        <v>47921087</v>
      </c>
      <c r="D145">
        <v>13554811</v>
      </c>
      <c r="E145">
        <v>1</v>
      </c>
      <c r="F145">
        <v>1</v>
      </c>
      <c r="G145">
        <v>1</v>
      </c>
      <c r="H145">
        <v>2</v>
      </c>
      <c r="I145" t="s">
        <v>607</v>
      </c>
      <c r="J145" t="s">
        <v>608</v>
      </c>
      <c r="K145" t="s">
        <v>609</v>
      </c>
      <c r="L145">
        <v>1368</v>
      </c>
      <c r="N145">
        <v>1011</v>
      </c>
      <c r="O145" t="s">
        <v>468</v>
      </c>
      <c r="P145" t="s">
        <v>468</v>
      </c>
      <c r="Q145">
        <v>1</v>
      </c>
      <c r="W145">
        <v>0</v>
      </c>
      <c r="X145">
        <v>-2118763821</v>
      </c>
      <c r="Y145">
        <v>4.1845499999999998</v>
      </c>
      <c r="AA145">
        <v>0</v>
      </c>
      <c r="AB145">
        <v>12.2</v>
      </c>
      <c r="AC145">
        <v>0</v>
      </c>
      <c r="AD145">
        <v>0</v>
      </c>
      <c r="AE145">
        <v>0</v>
      </c>
      <c r="AF145">
        <v>1.58</v>
      </c>
      <c r="AG145">
        <v>0</v>
      </c>
      <c r="AH145">
        <v>0</v>
      </c>
      <c r="AI145">
        <v>1</v>
      </c>
      <c r="AJ145">
        <v>7.72</v>
      </c>
      <c r="AK145">
        <v>28.93</v>
      </c>
      <c r="AL145">
        <v>1</v>
      </c>
      <c r="AN145">
        <v>0</v>
      </c>
      <c r="AO145">
        <v>1</v>
      </c>
      <c r="AP145">
        <v>1</v>
      </c>
      <c r="AQ145">
        <v>0</v>
      </c>
      <c r="AR145">
        <v>0</v>
      </c>
      <c r="AS145" t="s">
        <v>3</v>
      </c>
      <c r="AT145">
        <v>8.5</v>
      </c>
      <c r="AU145" t="s">
        <v>241</v>
      </c>
      <c r="AV145">
        <v>0</v>
      </c>
      <c r="AW145">
        <v>2</v>
      </c>
      <c r="AX145">
        <v>47921107</v>
      </c>
      <c r="AY145">
        <v>1</v>
      </c>
      <c r="AZ145">
        <v>0</v>
      </c>
      <c r="BA145">
        <v>147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Y145*Source!I143</f>
        <v>4.6866960000000004</v>
      </c>
      <c r="CY145">
        <f t="shared" si="27"/>
        <v>12.2</v>
      </c>
      <c r="CZ145">
        <f t="shared" si="28"/>
        <v>1.58</v>
      </c>
      <c r="DA145">
        <f t="shared" si="29"/>
        <v>7.72</v>
      </c>
      <c r="DB145">
        <f t="shared" si="25"/>
        <v>6.61</v>
      </c>
      <c r="DC145">
        <f t="shared" si="26"/>
        <v>0</v>
      </c>
    </row>
    <row r="146" spans="1:107">
      <c r="A146">
        <f>ROW(Source!A143)</f>
        <v>143</v>
      </c>
      <c r="B146">
        <v>47920234</v>
      </c>
      <c r="C146">
        <v>47921087</v>
      </c>
      <c r="D146">
        <v>13554923</v>
      </c>
      <c r="E146">
        <v>1</v>
      </c>
      <c r="F146">
        <v>1</v>
      </c>
      <c r="G146">
        <v>1</v>
      </c>
      <c r="H146">
        <v>2</v>
      </c>
      <c r="I146" t="s">
        <v>610</v>
      </c>
      <c r="J146" t="s">
        <v>611</v>
      </c>
      <c r="K146" t="s">
        <v>612</v>
      </c>
      <c r="L146">
        <v>1368</v>
      </c>
      <c r="N146">
        <v>1011</v>
      </c>
      <c r="O146" t="s">
        <v>468</v>
      </c>
      <c r="P146" t="s">
        <v>468</v>
      </c>
      <c r="Q146">
        <v>1</v>
      </c>
      <c r="W146">
        <v>0</v>
      </c>
      <c r="X146">
        <v>1998521497</v>
      </c>
      <c r="Y146">
        <v>0.16738200000000003</v>
      </c>
      <c r="AA146">
        <v>0</v>
      </c>
      <c r="AB146">
        <v>902.16</v>
      </c>
      <c r="AC146">
        <v>326.33</v>
      </c>
      <c r="AD146">
        <v>0</v>
      </c>
      <c r="AE146">
        <v>0</v>
      </c>
      <c r="AF146">
        <v>116.86</v>
      </c>
      <c r="AG146">
        <v>11.28</v>
      </c>
      <c r="AH146">
        <v>0</v>
      </c>
      <c r="AI146">
        <v>1</v>
      </c>
      <c r="AJ146">
        <v>7.72</v>
      </c>
      <c r="AK146">
        <v>28.93</v>
      </c>
      <c r="AL146">
        <v>1</v>
      </c>
      <c r="AN146">
        <v>0</v>
      </c>
      <c r="AO146">
        <v>1</v>
      </c>
      <c r="AP146">
        <v>1</v>
      </c>
      <c r="AQ146">
        <v>0</v>
      </c>
      <c r="AR146">
        <v>0</v>
      </c>
      <c r="AS146" t="s">
        <v>3</v>
      </c>
      <c r="AT146">
        <v>0.34</v>
      </c>
      <c r="AU146" t="s">
        <v>241</v>
      </c>
      <c r="AV146">
        <v>0</v>
      </c>
      <c r="AW146">
        <v>2</v>
      </c>
      <c r="AX146">
        <v>47921108</v>
      </c>
      <c r="AY146">
        <v>1</v>
      </c>
      <c r="AZ146">
        <v>0</v>
      </c>
      <c r="BA146">
        <v>148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Y146*Source!I143</f>
        <v>0.18746784000000005</v>
      </c>
      <c r="CY146">
        <f t="shared" si="27"/>
        <v>902.16</v>
      </c>
      <c r="CZ146">
        <f t="shared" si="28"/>
        <v>116.86</v>
      </c>
      <c r="DA146">
        <f t="shared" si="29"/>
        <v>7.72</v>
      </c>
      <c r="DB146">
        <f t="shared" si="25"/>
        <v>19.559999999999999</v>
      </c>
      <c r="DC146">
        <f t="shared" si="26"/>
        <v>1.89</v>
      </c>
    </row>
    <row r="147" spans="1:107">
      <c r="A147">
        <f>ROW(Source!A143)</f>
        <v>143</v>
      </c>
      <c r="B147">
        <v>47920234</v>
      </c>
      <c r="C147">
        <v>47921087</v>
      </c>
      <c r="D147">
        <v>13555345</v>
      </c>
      <c r="E147">
        <v>1</v>
      </c>
      <c r="F147">
        <v>1</v>
      </c>
      <c r="G147">
        <v>1</v>
      </c>
      <c r="H147">
        <v>2</v>
      </c>
      <c r="I147" t="s">
        <v>596</v>
      </c>
      <c r="J147" t="s">
        <v>597</v>
      </c>
      <c r="K147" t="s">
        <v>598</v>
      </c>
      <c r="L147">
        <v>1368</v>
      </c>
      <c r="N147">
        <v>1011</v>
      </c>
      <c r="O147" t="s">
        <v>468</v>
      </c>
      <c r="P147" t="s">
        <v>468</v>
      </c>
      <c r="Q147">
        <v>1</v>
      </c>
      <c r="W147">
        <v>0</v>
      </c>
      <c r="X147">
        <v>-249495239</v>
      </c>
      <c r="Y147">
        <v>1.1815199999999999</v>
      </c>
      <c r="AA147">
        <v>0</v>
      </c>
      <c r="AB147">
        <v>1040.58</v>
      </c>
      <c r="AC147">
        <v>326.33</v>
      </c>
      <c r="AD147">
        <v>0</v>
      </c>
      <c r="AE147">
        <v>0</v>
      </c>
      <c r="AF147">
        <v>134.79</v>
      </c>
      <c r="AG147">
        <v>11.28</v>
      </c>
      <c r="AH147">
        <v>0</v>
      </c>
      <c r="AI147">
        <v>1</v>
      </c>
      <c r="AJ147">
        <v>7.72</v>
      </c>
      <c r="AK147">
        <v>28.93</v>
      </c>
      <c r="AL147">
        <v>1</v>
      </c>
      <c r="AN147">
        <v>0</v>
      </c>
      <c r="AO147">
        <v>1</v>
      </c>
      <c r="AP147">
        <v>1</v>
      </c>
      <c r="AQ147">
        <v>0</v>
      </c>
      <c r="AR147">
        <v>0</v>
      </c>
      <c r="AS147" t="s">
        <v>3</v>
      </c>
      <c r="AT147">
        <v>2.4</v>
      </c>
      <c r="AU147" t="s">
        <v>241</v>
      </c>
      <c r="AV147">
        <v>0</v>
      </c>
      <c r="AW147">
        <v>2</v>
      </c>
      <c r="AX147">
        <v>47921109</v>
      </c>
      <c r="AY147">
        <v>1</v>
      </c>
      <c r="AZ147">
        <v>0</v>
      </c>
      <c r="BA147">
        <v>149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Y147*Source!I143</f>
        <v>1.3233024</v>
      </c>
      <c r="CY147">
        <f t="shared" si="27"/>
        <v>1040.58</v>
      </c>
      <c r="CZ147">
        <f t="shared" si="28"/>
        <v>134.79</v>
      </c>
      <c r="DA147">
        <f t="shared" si="29"/>
        <v>7.72</v>
      </c>
      <c r="DB147">
        <f t="shared" si="25"/>
        <v>159.26</v>
      </c>
      <c r="DC147">
        <f t="shared" si="26"/>
        <v>13.33</v>
      </c>
    </row>
    <row r="148" spans="1:107">
      <c r="A148">
        <f>ROW(Source!A143)</f>
        <v>143</v>
      </c>
      <c r="B148">
        <v>47920234</v>
      </c>
      <c r="C148">
        <v>47921087</v>
      </c>
      <c r="D148">
        <v>13556265</v>
      </c>
      <c r="E148">
        <v>1</v>
      </c>
      <c r="F148">
        <v>1</v>
      </c>
      <c r="G148">
        <v>1</v>
      </c>
      <c r="H148">
        <v>2</v>
      </c>
      <c r="I148" t="s">
        <v>599</v>
      </c>
      <c r="J148" t="s">
        <v>600</v>
      </c>
      <c r="K148" t="s">
        <v>601</v>
      </c>
      <c r="L148">
        <v>1368</v>
      </c>
      <c r="N148">
        <v>1011</v>
      </c>
      <c r="O148" t="s">
        <v>468</v>
      </c>
      <c r="P148" t="s">
        <v>468</v>
      </c>
      <c r="Q148">
        <v>1</v>
      </c>
      <c r="W148">
        <v>0</v>
      </c>
      <c r="X148">
        <v>620179637</v>
      </c>
      <c r="Y148">
        <v>14.769</v>
      </c>
      <c r="AA148">
        <v>0</v>
      </c>
      <c r="AB148">
        <v>12792.04</v>
      </c>
      <c r="AC148">
        <v>433.66</v>
      </c>
      <c r="AD148">
        <v>0</v>
      </c>
      <c r="AE148">
        <v>0</v>
      </c>
      <c r="AF148">
        <v>1657</v>
      </c>
      <c r="AG148">
        <v>14.99</v>
      </c>
      <c r="AH148">
        <v>0</v>
      </c>
      <c r="AI148">
        <v>1</v>
      </c>
      <c r="AJ148">
        <v>7.72</v>
      </c>
      <c r="AK148">
        <v>28.93</v>
      </c>
      <c r="AL148">
        <v>1</v>
      </c>
      <c r="AN148">
        <v>0</v>
      </c>
      <c r="AO148">
        <v>1</v>
      </c>
      <c r="AP148">
        <v>1</v>
      </c>
      <c r="AQ148">
        <v>0</v>
      </c>
      <c r="AR148">
        <v>0</v>
      </c>
      <c r="AS148" t="s">
        <v>3</v>
      </c>
      <c r="AT148">
        <v>30</v>
      </c>
      <c r="AU148" t="s">
        <v>241</v>
      </c>
      <c r="AV148">
        <v>0</v>
      </c>
      <c r="AW148">
        <v>2</v>
      </c>
      <c r="AX148">
        <v>47921110</v>
      </c>
      <c r="AY148">
        <v>1</v>
      </c>
      <c r="AZ148">
        <v>0</v>
      </c>
      <c r="BA148">
        <v>150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Y148*Source!I143</f>
        <v>16.54128</v>
      </c>
      <c r="CY148">
        <f t="shared" si="27"/>
        <v>12792.04</v>
      </c>
      <c r="CZ148">
        <f t="shared" si="28"/>
        <v>1657</v>
      </c>
      <c r="DA148">
        <f t="shared" si="29"/>
        <v>7.72</v>
      </c>
      <c r="DB148">
        <f t="shared" si="25"/>
        <v>24472.23</v>
      </c>
      <c r="DC148">
        <f t="shared" si="26"/>
        <v>221.39</v>
      </c>
    </row>
    <row r="149" spans="1:107">
      <c r="A149">
        <f>ROW(Source!A143)</f>
        <v>143</v>
      </c>
      <c r="B149">
        <v>47920234</v>
      </c>
      <c r="C149">
        <v>47921087</v>
      </c>
      <c r="D149">
        <v>13556990</v>
      </c>
      <c r="E149">
        <v>1</v>
      </c>
      <c r="F149">
        <v>1</v>
      </c>
      <c r="G149">
        <v>1</v>
      </c>
      <c r="H149">
        <v>2</v>
      </c>
      <c r="I149" t="s">
        <v>613</v>
      </c>
      <c r="J149" t="s">
        <v>614</v>
      </c>
      <c r="K149" t="s">
        <v>615</v>
      </c>
      <c r="L149">
        <v>1368</v>
      </c>
      <c r="N149">
        <v>1011</v>
      </c>
      <c r="O149" t="s">
        <v>468</v>
      </c>
      <c r="P149" t="s">
        <v>468</v>
      </c>
      <c r="Q149">
        <v>1</v>
      </c>
      <c r="W149">
        <v>0</v>
      </c>
      <c r="X149">
        <v>250019253</v>
      </c>
      <c r="Y149">
        <v>0.16738200000000003</v>
      </c>
      <c r="AA149">
        <v>0</v>
      </c>
      <c r="AB149">
        <v>854.45</v>
      </c>
      <c r="AC149">
        <v>0</v>
      </c>
      <c r="AD149">
        <v>0</v>
      </c>
      <c r="AE149">
        <v>0</v>
      </c>
      <c r="AF149">
        <v>110.68</v>
      </c>
      <c r="AG149">
        <v>0</v>
      </c>
      <c r="AH149">
        <v>0</v>
      </c>
      <c r="AI149">
        <v>1</v>
      </c>
      <c r="AJ149">
        <v>7.72</v>
      </c>
      <c r="AK149">
        <v>28.93</v>
      </c>
      <c r="AL149">
        <v>1</v>
      </c>
      <c r="AN149">
        <v>0</v>
      </c>
      <c r="AO149">
        <v>1</v>
      </c>
      <c r="AP149">
        <v>1</v>
      </c>
      <c r="AQ149">
        <v>0</v>
      </c>
      <c r="AR149">
        <v>0</v>
      </c>
      <c r="AS149" t="s">
        <v>3</v>
      </c>
      <c r="AT149">
        <v>0.34</v>
      </c>
      <c r="AU149" t="s">
        <v>241</v>
      </c>
      <c r="AV149">
        <v>0</v>
      </c>
      <c r="AW149">
        <v>2</v>
      </c>
      <c r="AX149">
        <v>47921111</v>
      </c>
      <c r="AY149">
        <v>1</v>
      </c>
      <c r="AZ149">
        <v>0</v>
      </c>
      <c r="BA149">
        <v>151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Y149*Source!I143</f>
        <v>0.18746784000000005</v>
      </c>
      <c r="CY149">
        <f t="shared" si="27"/>
        <v>854.45</v>
      </c>
      <c r="CZ149">
        <f t="shared" si="28"/>
        <v>110.68</v>
      </c>
      <c r="DA149">
        <f t="shared" si="29"/>
        <v>7.72</v>
      </c>
      <c r="DB149">
        <f t="shared" si="25"/>
        <v>18.53</v>
      </c>
      <c r="DC149">
        <f t="shared" si="26"/>
        <v>0</v>
      </c>
    </row>
    <row r="150" spans="1:107">
      <c r="A150">
        <f>ROW(Source!A143)</f>
        <v>143</v>
      </c>
      <c r="B150">
        <v>47920234</v>
      </c>
      <c r="C150">
        <v>47921087</v>
      </c>
      <c r="D150">
        <v>13558247</v>
      </c>
      <c r="E150">
        <v>1</v>
      </c>
      <c r="F150">
        <v>1</v>
      </c>
      <c r="G150">
        <v>1</v>
      </c>
      <c r="H150">
        <v>3</v>
      </c>
      <c r="I150" t="s">
        <v>616</v>
      </c>
      <c r="J150" t="s">
        <v>617</v>
      </c>
      <c r="K150" t="s">
        <v>618</v>
      </c>
      <c r="L150">
        <v>1339</v>
      </c>
      <c r="N150">
        <v>1007</v>
      </c>
      <c r="O150" t="s">
        <v>298</v>
      </c>
      <c r="P150" t="s">
        <v>298</v>
      </c>
      <c r="Q150">
        <v>1</v>
      </c>
      <c r="W150">
        <v>0</v>
      </c>
      <c r="X150">
        <v>-1300669483</v>
      </c>
      <c r="Y150">
        <v>5.62</v>
      </c>
      <c r="AA150">
        <v>35.28</v>
      </c>
      <c r="AB150">
        <v>0</v>
      </c>
      <c r="AC150">
        <v>0</v>
      </c>
      <c r="AD150">
        <v>0</v>
      </c>
      <c r="AE150">
        <v>6.85</v>
      </c>
      <c r="AF150">
        <v>0</v>
      </c>
      <c r="AG150">
        <v>0</v>
      </c>
      <c r="AH150">
        <v>0</v>
      </c>
      <c r="AI150">
        <v>5.15</v>
      </c>
      <c r="AJ150">
        <v>1</v>
      </c>
      <c r="AK150">
        <v>1</v>
      </c>
      <c r="AL150">
        <v>1</v>
      </c>
      <c r="AN150">
        <v>0</v>
      </c>
      <c r="AO150">
        <v>1</v>
      </c>
      <c r="AP150">
        <v>0</v>
      </c>
      <c r="AQ150">
        <v>0</v>
      </c>
      <c r="AR150">
        <v>0</v>
      </c>
      <c r="AS150" t="s">
        <v>3</v>
      </c>
      <c r="AT150">
        <v>5.62</v>
      </c>
      <c r="AU150" t="s">
        <v>3</v>
      </c>
      <c r="AV150">
        <v>0</v>
      </c>
      <c r="AW150">
        <v>2</v>
      </c>
      <c r="AX150">
        <v>47921112</v>
      </c>
      <c r="AY150">
        <v>1</v>
      </c>
      <c r="AZ150">
        <v>0</v>
      </c>
      <c r="BA150">
        <v>152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Y150*Source!I143</f>
        <v>6.2944000000000004</v>
      </c>
      <c r="CY150">
        <f>AA150</f>
        <v>35.28</v>
      </c>
      <c r="CZ150">
        <f>AE150</f>
        <v>6.85</v>
      </c>
      <c r="DA150">
        <f>AI150</f>
        <v>5.15</v>
      </c>
      <c r="DB150">
        <f>ROUND(ROUND(AT150*CZ150,2),2)</f>
        <v>38.5</v>
      </c>
      <c r="DC150">
        <f>ROUND(ROUND(AT150*AG150,2),2)</f>
        <v>0</v>
      </c>
    </row>
    <row r="151" spans="1:107">
      <c r="A151">
        <f>ROW(Source!A143)</f>
        <v>143</v>
      </c>
      <c r="B151">
        <v>47920234</v>
      </c>
      <c r="C151">
        <v>47921087</v>
      </c>
      <c r="D151">
        <v>13559933</v>
      </c>
      <c r="E151">
        <v>1</v>
      </c>
      <c r="F151">
        <v>1</v>
      </c>
      <c r="G151">
        <v>1</v>
      </c>
      <c r="H151">
        <v>3</v>
      </c>
      <c r="I151" t="s">
        <v>619</v>
      </c>
      <c r="J151" t="s">
        <v>620</v>
      </c>
      <c r="K151" t="s">
        <v>621</v>
      </c>
      <c r="L151">
        <v>1348</v>
      </c>
      <c r="N151">
        <v>1009</v>
      </c>
      <c r="O151" t="s">
        <v>337</v>
      </c>
      <c r="P151" t="s">
        <v>337</v>
      </c>
      <c r="Q151">
        <v>1000</v>
      </c>
      <c r="W151">
        <v>0</v>
      </c>
      <c r="X151">
        <v>1076206689</v>
      </c>
      <c r="Y151">
        <v>3.6799999999999999E-2</v>
      </c>
      <c r="AA151">
        <v>77432.72</v>
      </c>
      <c r="AB151">
        <v>0</v>
      </c>
      <c r="AC151">
        <v>0</v>
      </c>
      <c r="AD151">
        <v>0</v>
      </c>
      <c r="AE151">
        <v>15035.48</v>
      </c>
      <c r="AF151">
        <v>0</v>
      </c>
      <c r="AG151">
        <v>0</v>
      </c>
      <c r="AH151">
        <v>0</v>
      </c>
      <c r="AI151">
        <v>5.15</v>
      </c>
      <c r="AJ151">
        <v>1</v>
      </c>
      <c r="AK151">
        <v>1</v>
      </c>
      <c r="AL151">
        <v>1</v>
      </c>
      <c r="AN151">
        <v>0</v>
      </c>
      <c r="AO151">
        <v>1</v>
      </c>
      <c r="AP151">
        <v>0</v>
      </c>
      <c r="AQ151">
        <v>0</v>
      </c>
      <c r="AR151">
        <v>0</v>
      </c>
      <c r="AS151" t="s">
        <v>3</v>
      </c>
      <c r="AT151">
        <v>3.6799999999999999E-2</v>
      </c>
      <c r="AU151" t="s">
        <v>3</v>
      </c>
      <c r="AV151">
        <v>0</v>
      </c>
      <c r="AW151">
        <v>2</v>
      </c>
      <c r="AX151">
        <v>47921113</v>
      </c>
      <c r="AY151">
        <v>1</v>
      </c>
      <c r="AZ151">
        <v>0</v>
      </c>
      <c r="BA151">
        <v>153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Y151*Source!I143</f>
        <v>4.1216000000000003E-2</v>
      </c>
      <c r="CY151">
        <f>AA151</f>
        <v>77432.72</v>
      </c>
      <c r="CZ151">
        <f>AE151</f>
        <v>15035.48</v>
      </c>
      <c r="DA151">
        <f>AI151</f>
        <v>5.15</v>
      </c>
      <c r="DB151">
        <f>ROUND(ROUND(AT151*CZ151,2),2)</f>
        <v>553.30999999999995</v>
      </c>
      <c r="DC151">
        <f>ROUND(ROUND(AT151*AG151,2),2)</f>
        <v>0</v>
      </c>
    </row>
    <row r="152" spans="1:107">
      <c r="A152">
        <f>ROW(Source!A143)</f>
        <v>143</v>
      </c>
      <c r="B152">
        <v>47920234</v>
      </c>
      <c r="C152">
        <v>47921087</v>
      </c>
      <c r="D152">
        <v>13560009</v>
      </c>
      <c r="E152">
        <v>1</v>
      </c>
      <c r="F152">
        <v>1</v>
      </c>
      <c r="G152">
        <v>1</v>
      </c>
      <c r="H152">
        <v>3</v>
      </c>
      <c r="I152" t="s">
        <v>622</v>
      </c>
      <c r="J152" t="s">
        <v>623</v>
      </c>
      <c r="K152" t="s">
        <v>624</v>
      </c>
      <c r="L152">
        <v>1339</v>
      </c>
      <c r="N152">
        <v>1007</v>
      </c>
      <c r="O152" t="s">
        <v>298</v>
      </c>
      <c r="P152" t="s">
        <v>298</v>
      </c>
      <c r="Q152">
        <v>1</v>
      </c>
      <c r="W152">
        <v>0</v>
      </c>
      <c r="X152">
        <v>-552199212</v>
      </c>
      <c r="Y152">
        <v>1.88</v>
      </c>
      <c r="AA152">
        <v>92.7</v>
      </c>
      <c r="AB152">
        <v>0</v>
      </c>
      <c r="AC152">
        <v>0</v>
      </c>
      <c r="AD152">
        <v>0</v>
      </c>
      <c r="AE152">
        <v>18</v>
      </c>
      <c r="AF152">
        <v>0</v>
      </c>
      <c r="AG152">
        <v>0</v>
      </c>
      <c r="AH152">
        <v>0</v>
      </c>
      <c r="AI152">
        <v>5.15</v>
      </c>
      <c r="AJ152">
        <v>1</v>
      </c>
      <c r="AK152">
        <v>1</v>
      </c>
      <c r="AL152">
        <v>1</v>
      </c>
      <c r="AN152">
        <v>0</v>
      </c>
      <c r="AO152">
        <v>1</v>
      </c>
      <c r="AP152">
        <v>0</v>
      </c>
      <c r="AQ152">
        <v>0</v>
      </c>
      <c r="AR152">
        <v>0</v>
      </c>
      <c r="AS152" t="s">
        <v>3</v>
      </c>
      <c r="AT152">
        <v>1.88</v>
      </c>
      <c r="AU152" t="s">
        <v>3</v>
      </c>
      <c r="AV152">
        <v>0</v>
      </c>
      <c r="AW152">
        <v>2</v>
      </c>
      <c r="AX152">
        <v>47921114</v>
      </c>
      <c r="AY152">
        <v>1</v>
      </c>
      <c r="AZ152">
        <v>0</v>
      </c>
      <c r="BA152">
        <v>154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Y152*Source!I143</f>
        <v>2.1055999999999999</v>
      </c>
      <c r="CY152">
        <f>AA152</f>
        <v>92.7</v>
      </c>
      <c r="CZ152">
        <f>AE152</f>
        <v>18</v>
      </c>
      <c r="DA152">
        <f>AI152</f>
        <v>5.15</v>
      </c>
      <c r="DB152">
        <f>ROUND(ROUND(AT152*CZ152,2),2)</f>
        <v>33.840000000000003</v>
      </c>
      <c r="DC152">
        <f>ROUND(ROUND(AT152*AG152,2),2)</f>
        <v>0</v>
      </c>
    </row>
    <row r="153" spans="1:107">
      <c r="A153">
        <f>ROW(Source!A143)</f>
        <v>143</v>
      </c>
      <c r="B153">
        <v>47920234</v>
      </c>
      <c r="C153">
        <v>47921087</v>
      </c>
      <c r="D153">
        <v>13637754</v>
      </c>
      <c r="E153">
        <v>1</v>
      </c>
      <c r="F153">
        <v>1</v>
      </c>
      <c r="G153">
        <v>1</v>
      </c>
      <c r="H153">
        <v>3</v>
      </c>
      <c r="I153" t="s">
        <v>496</v>
      </c>
      <c r="J153" t="s">
        <v>497</v>
      </c>
      <c r="K153" t="s">
        <v>498</v>
      </c>
      <c r="L153">
        <v>1339</v>
      </c>
      <c r="N153">
        <v>1007</v>
      </c>
      <c r="O153" t="s">
        <v>298</v>
      </c>
      <c r="P153" t="s">
        <v>298</v>
      </c>
      <c r="Q153">
        <v>1</v>
      </c>
      <c r="W153">
        <v>0</v>
      </c>
      <c r="X153">
        <v>-129011492</v>
      </c>
      <c r="Y153">
        <v>12.44</v>
      </c>
      <c r="AA153">
        <v>32.450000000000003</v>
      </c>
      <c r="AB153">
        <v>0</v>
      </c>
      <c r="AC153">
        <v>0</v>
      </c>
      <c r="AD153">
        <v>0</v>
      </c>
      <c r="AE153">
        <v>6.3</v>
      </c>
      <c r="AF153">
        <v>0</v>
      </c>
      <c r="AG153">
        <v>0</v>
      </c>
      <c r="AH153">
        <v>0</v>
      </c>
      <c r="AI153">
        <v>5.15</v>
      </c>
      <c r="AJ153">
        <v>1</v>
      </c>
      <c r="AK153">
        <v>1</v>
      </c>
      <c r="AL153">
        <v>1</v>
      </c>
      <c r="AN153">
        <v>0</v>
      </c>
      <c r="AO153">
        <v>1</v>
      </c>
      <c r="AP153">
        <v>0</v>
      </c>
      <c r="AQ153">
        <v>0</v>
      </c>
      <c r="AR153">
        <v>0</v>
      </c>
      <c r="AS153" t="s">
        <v>3</v>
      </c>
      <c r="AT153">
        <v>12.44</v>
      </c>
      <c r="AU153" t="s">
        <v>3</v>
      </c>
      <c r="AV153">
        <v>0</v>
      </c>
      <c r="AW153">
        <v>2</v>
      </c>
      <c r="AX153">
        <v>47921118</v>
      </c>
      <c r="AY153">
        <v>1</v>
      </c>
      <c r="AZ153">
        <v>0</v>
      </c>
      <c r="BA153">
        <v>158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Y153*Source!I143</f>
        <v>13.9328</v>
      </c>
      <c r="CY153">
        <f>AA153</f>
        <v>32.450000000000003</v>
      </c>
      <c r="CZ153">
        <f>AE153</f>
        <v>6.3</v>
      </c>
      <c r="DA153">
        <f>AI153</f>
        <v>5.15</v>
      </c>
      <c r="DB153">
        <f>ROUND(ROUND(AT153*CZ153,2),2)</f>
        <v>78.37</v>
      </c>
      <c r="DC153">
        <f>ROUND(ROUND(AT153*AG153,2),2)</f>
        <v>0</v>
      </c>
    </row>
    <row r="154" spans="1:107">
      <c r="A154">
        <f>ROW(Source!A189)</f>
        <v>189</v>
      </c>
      <c r="B154">
        <v>47920234</v>
      </c>
      <c r="C154">
        <v>47921665</v>
      </c>
      <c r="D154">
        <v>9924372</v>
      </c>
      <c r="E154">
        <v>1</v>
      </c>
      <c r="F154">
        <v>1</v>
      </c>
      <c r="G154">
        <v>1</v>
      </c>
      <c r="H154">
        <v>1</v>
      </c>
      <c r="I154" t="s">
        <v>625</v>
      </c>
      <c r="J154" t="s">
        <v>3</v>
      </c>
      <c r="K154" t="s">
        <v>626</v>
      </c>
      <c r="L154">
        <v>1191</v>
      </c>
      <c r="N154">
        <v>1013</v>
      </c>
      <c r="O154" t="s">
        <v>460</v>
      </c>
      <c r="P154" t="s">
        <v>460</v>
      </c>
      <c r="Q154">
        <v>1</v>
      </c>
      <c r="W154">
        <v>0</v>
      </c>
      <c r="X154">
        <v>-561758510</v>
      </c>
      <c r="Y154">
        <v>248.124</v>
      </c>
      <c r="AA154">
        <v>0</v>
      </c>
      <c r="AB154">
        <v>0</v>
      </c>
      <c r="AC154">
        <v>0</v>
      </c>
      <c r="AD154">
        <v>233.75</v>
      </c>
      <c r="AE154">
        <v>0</v>
      </c>
      <c r="AF154">
        <v>0</v>
      </c>
      <c r="AG154">
        <v>0</v>
      </c>
      <c r="AH154">
        <v>8.08</v>
      </c>
      <c r="AI154">
        <v>1</v>
      </c>
      <c r="AJ154">
        <v>1</v>
      </c>
      <c r="AK154">
        <v>1</v>
      </c>
      <c r="AL154">
        <v>28.93</v>
      </c>
      <c r="AN154">
        <v>0</v>
      </c>
      <c r="AO154">
        <v>1</v>
      </c>
      <c r="AP154">
        <v>1</v>
      </c>
      <c r="AQ154">
        <v>0</v>
      </c>
      <c r="AR154">
        <v>0</v>
      </c>
      <c r="AS154" t="s">
        <v>3</v>
      </c>
      <c r="AT154">
        <v>179.8</v>
      </c>
      <c r="AU154" t="s">
        <v>20</v>
      </c>
      <c r="AV154">
        <v>1</v>
      </c>
      <c r="AW154">
        <v>2</v>
      </c>
      <c r="AX154">
        <v>47921671</v>
      </c>
      <c r="AY154">
        <v>1</v>
      </c>
      <c r="AZ154">
        <v>0</v>
      </c>
      <c r="BA154">
        <v>159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Y154*Source!I189</f>
        <v>7.4437199999999999</v>
      </c>
      <c r="CY154">
        <f>AD154</f>
        <v>233.75</v>
      </c>
      <c r="CZ154">
        <f>AH154</f>
        <v>8.08</v>
      </c>
      <c r="DA154">
        <f>AL154</f>
        <v>28.93</v>
      </c>
      <c r="DB154">
        <f t="shared" ref="DB154:DB164" si="30">ROUND((ROUND(AT154*CZ154,2)*ROUND((1.2*1.15),7)),2)</f>
        <v>2004.84</v>
      </c>
      <c r="DC154">
        <f t="shared" ref="DC154:DC164" si="31">ROUND((ROUND(AT154*AG154,2)*ROUND((1.2*1.15),7)),2)</f>
        <v>0</v>
      </c>
    </row>
    <row r="155" spans="1:107">
      <c r="A155">
        <f>ROW(Source!A189)</f>
        <v>189</v>
      </c>
      <c r="B155">
        <v>47920234</v>
      </c>
      <c r="C155">
        <v>47921665</v>
      </c>
      <c r="D155">
        <v>121548</v>
      </c>
      <c r="E155">
        <v>1</v>
      </c>
      <c r="F155">
        <v>1</v>
      </c>
      <c r="G155">
        <v>1</v>
      </c>
      <c r="H155">
        <v>1</v>
      </c>
      <c r="I155" t="s">
        <v>26</v>
      </c>
      <c r="J155" t="s">
        <v>3</v>
      </c>
      <c r="K155" t="s">
        <v>461</v>
      </c>
      <c r="L155">
        <v>608254</v>
      </c>
      <c r="N155">
        <v>1013</v>
      </c>
      <c r="O155" t="s">
        <v>462</v>
      </c>
      <c r="P155" t="s">
        <v>462</v>
      </c>
      <c r="Q155">
        <v>1</v>
      </c>
      <c r="W155">
        <v>0</v>
      </c>
      <c r="X155">
        <v>-185737400</v>
      </c>
      <c r="Y155">
        <v>62.969399999999993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1</v>
      </c>
      <c r="AJ155">
        <v>1</v>
      </c>
      <c r="AK155">
        <v>28.93</v>
      </c>
      <c r="AL155">
        <v>1</v>
      </c>
      <c r="AN155">
        <v>0</v>
      </c>
      <c r="AO155">
        <v>1</v>
      </c>
      <c r="AP155">
        <v>1</v>
      </c>
      <c r="AQ155">
        <v>0</v>
      </c>
      <c r="AR155">
        <v>0</v>
      </c>
      <c r="AS155" t="s">
        <v>3</v>
      </c>
      <c r="AT155">
        <v>45.63</v>
      </c>
      <c r="AU155" t="s">
        <v>20</v>
      </c>
      <c r="AV155">
        <v>2</v>
      </c>
      <c r="AW155">
        <v>2</v>
      </c>
      <c r="AX155">
        <v>47921672</v>
      </c>
      <c r="AY155">
        <v>1</v>
      </c>
      <c r="AZ155">
        <v>0</v>
      </c>
      <c r="BA155">
        <v>160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Y155*Source!I189</f>
        <v>1.8890819999999997</v>
      </c>
      <c r="CY155">
        <f>AD155</f>
        <v>0</v>
      </c>
      <c r="CZ155">
        <f>AH155</f>
        <v>0</v>
      </c>
      <c r="DA155">
        <f>AL155</f>
        <v>1</v>
      </c>
      <c r="DB155">
        <f t="shared" si="30"/>
        <v>0</v>
      </c>
      <c r="DC155">
        <f t="shared" si="31"/>
        <v>0</v>
      </c>
    </row>
    <row r="156" spans="1:107">
      <c r="A156">
        <f>ROW(Source!A189)</f>
        <v>189</v>
      </c>
      <c r="B156">
        <v>47920234</v>
      </c>
      <c r="C156">
        <v>47921665</v>
      </c>
      <c r="D156">
        <v>13554851</v>
      </c>
      <c r="E156">
        <v>1</v>
      </c>
      <c r="F156">
        <v>1</v>
      </c>
      <c r="G156">
        <v>1</v>
      </c>
      <c r="H156">
        <v>2</v>
      </c>
      <c r="I156" t="s">
        <v>627</v>
      </c>
      <c r="J156" t="s">
        <v>628</v>
      </c>
      <c r="K156" t="s">
        <v>629</v>
      </c>
      <c r="L156">
        <v>1368</v>
      </c>
      <c r="N156">
        <v>1011</v>
      </c>
      <c r="O156" t="s">
        <v>468</v>
      </c>
      <c r="P156" t="s">
        <v>468</v>
      </c>
      <c r="Q156">
        <v>1</v>
      </c>
      <c r="W156">
        <v>0</v>
      </c>
      <c r="X156">
        <v>-1349962571</v>
      </c>
      <c r="Y156">
        <v>60.83039999999999</v>
      </c>
      <c r="AA156">
        <v>0</v>
      </c>
      <c r="AB156">
        <v>805.5</v>
      </c>
      <c r="AC156">
        <v>282.94</v>
      </c>
      <c r="AD156">
        <v>0</v>
      </c>
      <c r="AE156">
        <v>0</v>
      </c>
      <c r="AF156">
        <v>104.34</v>
      </c>
      <c r="AG156">
        <v>9.7799999999999994</v>
      </c>
      <c r="AH156">
        <v>0</v>
      </c>
      <c r="AI156">
        <v>1</v>
      </c>
      <c r="AJ156">
        <v>7.72</v>
      </c>
      <c r="AK156">
        <v>28.93</v>
      </c>
      <c r="AL156">
        <v>1</v>
      </c>
      <c r="AN156">
        <v>0</v>
      </c>
      <c r="AO156">
        <v>1</v>
      </c>
      <c r="AP156">
        <v>1</v>
      </c>
      <c r="AQ156">
        <v>0</v>
      </c>
      <c r="AR156">
        <v>0</v>
      </c>
      <c r="AS156" t="s">
        <v>3</v>
      </c>
      <c r="AT156">
        <v>44.08</v>
      </c>
      <c r="AU156" t="s">
        <v>20</v>
      </c>
      <c r="AV156">
        <v>0</v>
      </c>
      <c r="AW156">
        <v>2</v>
      </c>
      <c r="AX156">
        <v>47921673</v>
      </c>
      <c r="AY156">
        <v>1</v>
      </c>
      <c r="AZ156">
        <v>0</v>
      </c>
      <c r="BA156">
        <v>161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Y156*Source!I189</f>
        <v>1.8249119999999996</v>
      </c>
      <c r="CY156">
        <f>AB156</f>
        <v>805.5</v>
      </c>
      <c r="CZ156">
        <f>AF156</f>
        <v>104.34</v>
      </c>
      <c r="DA156">
        <f>AJ156</f>
        <v>7.72</v>
      </c>
      <c r="DB156">
        <f t="shared" si="30"/>
        <v>6347.05</v>
      </c>
      <c r="DC156">
        <f t="shared" si="31"/>
        <v>594.91999999999996</v>
      </c>
    </row>
    <row r="157" spans="1:107">
      <c r="A157">
        <f>ROW(Source!A189)</f>
        <v>189</v>
      </c>
      <c r="B157">
        <v>47920234</v>
      </c>
      <c r="C157">
        <v>47921665</v>
      </c>
      <c r="D157">
        <v>13555234</v>
      </c>
      <c r="E157">
        <v>1</v>
      </c>
      <c r="F157">
        <v>1</v>
      </c>
      <c r="G157">
        <v>1</v>
      </c>
      <c r="H157">
        <v>2</v>
      </c>
      <c r="I157" t="s">
        <v>630</v>
      </c>
      <c r="J157" t="s">
        <v>631</v>
      </c>
      <c r="K157" t="s">
        <v>632</v>
      </c>
      <c r="L157">
        <v>1368</v>
      </c>
      <c r="N157">
        <v>1011</v>
      </c>
      <c r="O157" t="s">
        <v>468</v>
      </c>
      <c r="P157" t="s">
        <v>468</v>
      </c>
      <c r="Q157">
        <v>1</v>
      </c>
      <c r="W157">
        <v>0</v>
      </c>
      <c r="X157">
        <v>-1121905244</v>
      </c>
      <c r="Y157">
        <v>2.1389999999999998</v>
      </c>
      <c r="AA157">
        <v>0</v>
      </c>
      <c r="AB157">
        <v>992.02</v>
      </c>
      <c r="AC157">
        <v>379.56</v>
      </c>
      <c r="AD157">
        <v>0</v>
      </c>
      <c r="AE157">
        <v>0</v>
      </c>
      <c r="AF157">
        <v>128.5</v>
      </c>
      <c r="AG157">
        <v>13.12</v>
      </c>
      <c r="AH157">
        <v>0</v>
      </c>
      <c r="AI157">
        <v>1</v>
      </c>
      <c r="AJ157">
        <v>7.72</v>
      </c>
      <c r="AK157">
        <v>28.93</v>
      </c>
      <c r="AL157">
        <v>1</v>
      </c>
      <c r="AN157">
        <v>0</v>
      </c>
      <c r="AO157">
        <v>1</v>
      </c>
      <c r="AP157">
        <v>1</v>
      </c>
      <c r="AQ157">
        <v>0</v>
      </c>
      <c r="AR157">
        <v>0</v>
      </c>
      <c r="AS157" t="s">
        <v>3</v>
      </c>
      <c r="AT157">
        <v>1.55</v>
      </c>
      <c r="AU157" t="s">
        <v>20</v>
      </c>
      <c r="AV157">
        <v>0</v>
      </c>
      <c r="AW157">
        <v>2</v>
      </c>
      <c r="AX157">
        <v>47921674</v>
      </c>
      <c r="AY157">
        <v>1</v>
      </c>
      <c r="AZ157">
        <v>0</v>
      </c>
      <c r="BA157">
        <v>162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Y157*Source!I189</f>
        <v>6.4169999999999991E-2</v>
      </c>
      <c r="CY157">
        <f>AB157</f>
        <v>992.02</v>
      </c>
      <c r="CZ157">
        <f>AF157</f>
        <v>128.5</v>
      </c>
      <c r="DA157">
        <f>AJ157</f>
        <v>7.72</v>
      </c>
      <c r="DB157">
        <f t="shared" si="30"/>
        <v>274.87</v>
      </c>
      <c r="DC157">
        <f t="shared" si="31"/>
        <v>28.07</v>
      </c>
    </row>
    <row r="158" spans="1:107">
      <c r="A158">
        <f>ROW(Source!A189)</f>
        <v>189</v>
      </c>
      <c r="B158">
        <v>47920234</v>
      </c>
      <c r="C158">
        <v>47921665</v>
      </c>
      <c r="D158">
        <v>13556601</v>
      </c>
      <c r="E158">
        <v>1</v>
      </c>
      <c r="F158">
        <v>1</v>
      </c>
      <c r="G158">
        <v>1</v>
      </c>
      <c r="H158">
        <v>2</v>
      </c>
      <c r="I158" t="s">
        <v>633</v>
      </c>
      <c r="J158" t="s">
        <v>634</v>
      </c>
      <c r="K158" t="s">
        <v>635</v>
      </c>
      <c r="L158">
        <v>1368</v>
      </c>
      <c r="N158">
        <v>1011</v>
      </c>
      <c r="O158" t="s">
        <v>468</v>
      </c>
      <c r="P158" t="s">
        <v>468</v>
      </c>
      <c r="Q158">
        <v>1</v>
      </c>
      <c r="W158">
        <v>0</v>
      </c>
      <c r="X158">
        <v>817583148</v>
      </c>
      <c r="Y158">
        <v>121.66079999999998</v>
      </c>
      <c r="AA158">
        <v>0</v>
      </c>
      <c r="AB158">
        <v>18.84</v>
      </c>
      <c r="AC158">
        <v>0</v>
      </c>
      <c r="AD158">
        <v>0</v>
      </c>
      <c r="AE158">
        <v>0</v>
      </c>
      <c r="AF158">
        <v>2.44</v>
      </c>
      <c r="AG158">
        <v>0</v>
      </c>
      <c r="AH158">
        <v>0</v>
      </c>
      <c r="AI158">
        <v>1</v>
      </c>
      <c r="AJ158">
        <v>7.72</v>
      </c>
      <c r="AK158">
        <v>28.93</v>
      </c>
      <c r="AL158">
        <v>1</v>
      </c>
      <c r="AN158">
        <v>0</v>
      </c>
      <c r="AO158">
        <v>1</v>
      </c>
      <c r="AP158">
        <v>1</v>
      </c>
      <c r="AQ158">
        <v>0</v>
      </c>
      <c r="AR158">
        <v>0</v>
      </c>
      <c r="AS158" t="s">
        <v>3</v>
      </c>
      <c r="AT158">
        <v>88.16</v>
      </c>
      <c r="AU158" t="s">
        <v>20</v>
      </c>
      <c r="AV158">
        <v>0</v>
      </c>
      <c r="AW158">
        <v>2</v>
      </c>
      <c r="AX158">
        <v>47921675</v>
      </c>
      <c r="AY158">
        <v>1</v>
      </c>
      <c r="AZ158">
        <v>0</v>
      </c>
      <c r="BA158">
        <v>163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Y158*Source!I189</f>
        <v>3.6498239999999993</v>
      </c>
      <c r="CY158">
        <f>AB158</f>
        <v>18.84</v>
      </c>
      <c r="CZ158">
        <f>AF158</f>
        <v>2.44</v>
      </c>
      <c r="DA158">
        <f>AJ158</f>
        <v>7.72</v>
      </c>
      <c r="DB158">
        <f t="shared" si="30"/>
        <v>296.85000000000002</v>
      </c>
      <c r="DC158">
        <f t="shared" si="31"/>
        <v>0</v>
      </c>
    </row>
    <row r="159" spans="1:107">
      <c r="A159">
        <f>ROW(Source!A190)</f>
        <v>190</v>
      </c>
      <c r="B159">
        <v>47920234</v>
      </c>
      <c r="C159">
        <v>47921676</v>
      </c>
      <c r="D159">
        <v>9914874</v>
      </c>
      <c r="E159">
        <v>1</v>
      </c>
      <c r="F159">
        <v>1</v>
      </c>
      <c r="G159">
        <v>1</v>
      </c>
      <c r="H159">
        <v>1</v>
      </c>
      <c r="I159" t="s">
        <v>458</v>
      </c>
      <c r="J159" t="s">
        <v>3</v>
      </c>
      <c r="K159" t="s">
        <v>459</v>
      </c>
      <c r="L159">
        <v>1191</v>
      </c>
      <c r="N159">
        <v>1013</v>
      </c>
      <c r="O159" t="s">
        <v>460</v>
      </c>
      <c r="P159" t="s">
        <v>460</v>
      </c>
      <c r="Q159">
        <v>1</v>
      </c>
      <c r="W159">
        <v>0</v>
      </c>
      <c r="X159">
        <v>1617615494</v>
      </c>
      <c r="Y159">
        <v>18.243600000000001</v>
      </c>
      <c r="AA159">
        <v>0</v>
      </c>
      <c r="AB159">
        <v>0</v>
      </c>
      <c r="AC159">
        <v>0</v>
      </c>
      <c r="AD159">
        <v>219.29</v>
      </c>
      <c r="AE159">
        <v>0</v>
      </c>
      <c r="AF159">
        <v>0</v>
      </c>
      <c r="AG159">
        <v>0</v>
      </c>
      <c r="AH159">
        <v>7.58</v>
      </c>
      <c r="AI159">
        <v>1</v>
      </c>
      <c r="AJ159">
        <v>1</v>
      </c>
      <c r="AK159">
        <v>1</v>
      </c>
      <c r="AL159">
        <v>28.93</v>
      </c>
      <c r="AN159">
        <v>0</v>
      </c>
      <c r="AO159">
        <v>1</v>
      </c>
      <c r="AP159">
        <v>1</v>
      </c>
      <c r="AQ159">
        <v>0</v>
      </c>
      <c r="AR159">
        <v>0</v>
      </c>
      <c r="AS159" t="s">
        <v>3</v>
      </c>
      <c r="AT159">
        <v>13.22</v>
      </c>
      <c r="AU159" t="s">
        <v>20</v>
      </c>
      <c r="AV159">
        <v>1</v>
      </c>
      <c r="AW159">
        <v>2</v>
      </c>
      <c r="AX159">
        <v>47921683</v>
      </c>
      <c r="AY159">
        <v>1</v>
      </c>
      <c r="AZ159">
        <v>0</v>
      </c>
      <c r="BA159">
        <v>164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Y159*Source!I190</f>
        <v>0.82096199999999997</v>
      </c>
      <c r="CY159">
        <f>AD159</f>
        <v>219.29</v>
      </c>
      <c r="CZ159">
        <f>AH159</f>
        <v>7.58</v>
      </c>
      <c r="DA159">
        <f>AL159</f>
        <v>28.93</v>
      </c>
      <c r="DB159">
        <f t="shared" si="30"/>
        <v>138.29</v>
      </c>
      <c r="DC159">
        <f t="shared" si="31"/>
        <v>0</v>
      </c>
    </row>
    <row r="160" spans="1:107">
      <c r="A160">
        <f>ROW(Source!A190)</f>
        <v>190</v>
      </c>
      <c r="B160">
        <v>47920234</v>
      </c>
      <c r="C160">
        <v>47921676</v>
      </c>
      <c r="D160">
        <v>121548</v>
      </c>
      <c r="E160">
        <v>1</v>
      </c>
      <c r="F160">
        <v>1</v>
      </c>
      <c r="G160">
        <v>1</v>
      </c>
      <c r="H160">
        <v>1</v>
      </c>
      <c r="I160" t="s">
        <v>26</v>
      </c>
      <c r="J160" t="s">
        <v>3</v>
      </c>
      <c r="K160" t="s">
        <v>461</v>
      </c>
      <c r="L160">
        <v>608254</v>
      </c>
      <c r="N160">
        <v>1013</v>
      </c>
      <c r="O160" t="s">
        <v>462</v>
      </c>
      <c r="P160" t="s">
        <v>462</v>
      </c>
      <c r="Q160">
        <v>1</v>
      </c>
      <c r="W160">
        <v>0</v>
      </c>
      <c r="X160">
        <v>-185737400</v>
      </c>
      <c r="Y160">
        <v>5.2302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1</v>
      </c>
      <c r="AJ160">
        <v>1</v>
      </c>
      <c r="AK160">
        <v>28.93</v>
      </c>
      <c r="AL160">
        <v>1</v>
      </c>
      <c r="AN160">
        <v>0</v>
      </c>
      <c r="AO160">
        <v>1</v>
      </c>
      <c r="AP160">
        <v>1</v>
      </c>
      <c r="AQ160">
        <v>0</v>
      </c>
      <c r="AR160">
        <v>0</v>
      </c>
      <c r="AS160" t="s">
        <v>3</v>
      </c>
      <c r="AT160">
        <v>3.79</v>
      </c>
      <c r="AU160" t="s">
        <v>20</v>
      </c>
      <c r="AV160">
        <v>2</v>
      </c>
      <c r="AW160">
        <v>2</v>
      </c>
      <c r="AX160">
        <v>47921684</v>
      </c>
      <c r="AY160">
        <v>1</v>
      </c>
      <c r="AZ160">
        <v>0</v>
      </c>
      <c r="BA160">
        <v>165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Y160*Source!I190</f>
        <v>0.23535899999999998</v>
      </c>
      <c r="CY160">
        <f>AD160</f>
        <v>0</v>
      </c>
      <c r="CZ160">
        <f>AH160</f>
        <v>0</v>
      </c>
      <c r="DA160">
        <f>AL160</f>
        <v>1</v>
      </c>
      <c r="DB160">
        <f t="shared" si="30"/>
        <v>0</v>
      </c>
      <c r="DC160">
        <f t="shared" si="31"/>
        <v>0</v>
      </c>
    </row>
    <row r="161" spans="1:107">
      <c r="A161">
        <f>ROW(Source!A190)</f>
        <v>190</v>
      </c>
      <c r="B161">
        <v>47920234</v>
      </c>
      <c r="C161">
        <v>47921676</v>
      </c>
      <c r="D161">
        <v>13554446</v>
      </c>
      <c r="E161">
        <v>1</v>
      </c>
      <c r="F161">
        <v>1</v>
      </c>
      <c r="G161">
        <v>1</v>
      </c>
      <c r="H161">
        <v>2</v>
      </c>
      <c r="I161" t="s">
        <v>636</v>
      </c>
      <c r="J161" t="s">
        <v>637</v>
      </c>
      <c r="K161" t="s">
        <v>638</v>
      </c>
      <c r="L161">
        <v>1368</v>
      </c>
      <c r="N161">
        <v>1011</v>
      </c>
      <c r="O161" t="s">
        <v>468</v>
      </c>
      <c r="P161" t="s">
        <v>468</v>
      </c>
      <c r="Q161">
        <v>1</v>
      </c>
      <c r="W161">
        <v>0</v>
      </c>
      <c r="X161">
        <v>1780196791</v>
      </c>
      <c r="Y161">
        <v>1.9181999999999997</v>
      </c>
      <c r="AA161">
        <v>0</v>
      </c>
      <c r="AB161">
        <v>613.59</v>
      </c>
      <c r="AC161">
        <v>379.56</v>
      </c>
      <c r="AD161">
        <v>0</v>
      </c>
      <c r="AE161">
        <v>0</v>
      </c>
      <c r="AF161">
        <v>79.48</v>
      </c>
      <c r="AG161">
        <v>13.12</v>
      </c>
      <c r="AH161">
        <v>0</v>
      </c>
      <c r="AI161">
        <v>1</v>
      </c>
      <c r="AJ161">
        <v>7.72</v>
      </c>
      <c r="AK161">
        <v>28.93</v>
      </c>
      <c r="AL161">
        <v>1</v>
      </c>
      <c r="AN161">
        <v>0</v>
      </c>
      <c r="AO161">
        <v>1</v>
      </c>
      <c r="AP161">
        <v>1</v>
      </c>
      <c r="AQ161">
        <v>0</v>
      </c>
      <c r="AR161">
        <v>0</v>
      </c>
      <c r="AS161" t="s">
        <v>3</v>
      </c>
      <c r="AT161">
        <v>1.39</v>
      </c>
      <c r="AU161" t="s">
        <v>20</v>
      </c>
      <c r="AV161">
        <v>0</v>
      </c>
      <c r="AW161">
        <v>2</v>
      </c>
      <c r="AX161">
        <v>47921685</v>
      </c>
      <c r="AY161">
        <v>1</v>
      </c>
      <c r="AZ161">
        <v>0</v>
      </c>
      <c r="BA161">
        <v>166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Y161*Source!I190</f>
        <v>8.6318999999999979E-2</v>
      </c>
      <c r="CY161">
        <f>AB161</f>
        <v>613.59</v>
      </c>
      <c r="CZ161">
        <f>AF161</f>
        <v>79.48</v>
      </c>
      <c r="DA161">
        <f>AJ161</f>
        <v>7.72</v>
      </c>
      <c r="DB161">
        <f t="shared" si="30"/>
        <v>152.46</v>
      </c>
      <c r="DC161">
        <f t="shared" si="31"/>
        <v>25.17</v>
      </c>
    </row>
    <row r="162" spans="1:107">
      <c r="A162">
        <f>ROW(Source!A190)</f>
        <v>190</v>
      </c>
      <c r="B162">
        <v>47920234</v>
      </c>
      <c r="C162">
        <v>47921676</v>
      </c>
      <c r="D162">
        <v>13555079</v>
      </c>
      <c r="E162">
        <v>1</v>
      </c>
      <c r="F162">
        <v>1</v>
      </c>
      <c r="G162">
        <v>1</v>
      </c>
      <c r="H162">
        <v>2</v>
      </c>
      <c r="I162" t="s">
        <v>639</v>
      </c>
      <c r="J162" t="s">
        <v>640</v>
      </c>
      <c r="K162" t="s">
        <v>641</v>
      </c>
      <c r="L162">
        <v>1368</v>
      </c>
      <c r="N162">
        <v>1011</v>
      </c>
      <c r="O162" t="s">
        <v>468</v>
      </c>
      <c r="P162" t="s">
        <v>468</v>
      </c>
      <c r="Q162">
        <v>1</v>
      </c>
      <c r="W162">
        <v>0</v>
      </c>
      <c r="X162">
        <v>-1146711262</v>
      </c>
      <c r="Y162">
        <v>1.9181999999999997</v>
      </c>
      <c r="AA162">
        <v>0</v>
      </c>
      <c r="AB162">
        <v>92.25</v>
      </c>
      <c r="AC162">
        <v>0</v>
      </c>
      <c r="AD162">
        <v>0</v>
      </c>
      <c r="AE162">
        <v>0</v>
      </c>
      <c r="AF162">
        <v>11.95</v>
      </c>
      <c r="AG162">
        <v>0</v>
      </c>
      <c r="AH162">
        <v>0</v>
      </c>
      <c r="AI162">
        <v>1</v>
      </c>
      <c r="AJ162">
        <v>7.72</v>
      </c>
      <c r="AK162">
        <v>28.93</v>
      </c>
      <c r="AL162">
        <v>1</v>
      </c>
      <c r="AN162">
        <v>0</v>
      </c>
      <c r="AO162">
        <v>1</v>
      </c>
      <c r="AP162">
        <v>1</v>
      </c>
      <c r="AQ162">
        <v>0</v>
      </c>
      <c r="AR162">
        <v>0</v>
      </c>
      <c r="AS162" t="s">
        <v>3</v>
      </c>
      <c r="AT162">
        <v>1.39</v>
      </c>
      <c r="AU162" t="s">
        <v>20</v>
      </c>
      <c r="AV162">
        <v>0</v>
      </c>
      <c r="AW162">
        <v>2</v>
      </c>
      <c r="AX162">
        <v>47921686</v>
      </c>
      <c r="AY162">
        <v>1</v>
      </c>
      <c r="AZ162">
        <v>0</v>
      </c>
      <c r="BA162">
        <v>167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Y162*Source!I190</f>
        <v>8.6318999999999979E-2</v>
      </c>
      <c r="CY162">
        <f>AB162</f>
        <v>92.25</v>
      </c>
      <c r="CZ162">
        <f>AF162</f>
        <v>11.95</v>
      </c>
      <c r="DA162">
        <f>AJ162</f>
        <v>7.72</v>
      </c>
      <c r="DB162">
        <f t="shared" si="30"/>
        <v>22.92</v>
      </c>
      <c r="DC162">
        <f t="shared" si="31"/>
        <v>0</v>
      </c>
    </row>
    <row r="163" spans="1:107">
      <c r="A163">
        <f>ROW(Source!A190)</f>
        <v>190</v>
      </c>
      <c r="B163">
        <v>47920234</v>
      </c>
      <c r="C163">
        <v>47921676</v>
      </c>
      <c r="D163">
        <v>13555234</v>
      </c>
      <c r="E163">
        <v>1</v>
      </c>
      <c r="F163">
        <v>1</v>
      </c>
      <c r="G163">
        <v>1</v>
      </c>
      <c r="H163">
        <v>2</v>
      </c>
      <c r="I163" t="s">
        <v>630</v>
      </c>
      <c r="J163" t="s">
        <v>631</v>
      </c>
      <c r="K163" t="s">
        <v>632</v>
      </c>
      <c r="L163">
        <v>1368</v>
      </c>
      <c r="N163">
        <v>1011</v>
      </c>
      <c r="O163" t="s">
        <v>468</v>
      </c>
      <c r="P163" t="s">
        <v>468</v>
      </c>
      <c r="Q163">
        <v>1</v>
      </c>
      <c r="W163">
        <v>0</v>
      </c>
      <c r="X163">
        <v>-1121905244</v>
      </c>
      <c r="Y163">
        <v>2.6771999999999996</v>
      </c>
      <c r="AA163">
        <v>0</v>
      </c>
      <c r="AB163">
        <v>992.02</v>
      </c>
      <c r="AC163">
        <v>379.56</v>
      </c>
      <c r="AD163">
        <v>0</v>
      </c>
      <c r="AE163">
        <v>0</v>
      </c>
      <c r="AF163">
        <v>128.5</v>
      </c>
      <c r="AG163">
        <v>13.12</v>
      </c>
      <c r="AH163">
        <v>0</v>
      </c>
      <c r="AI163">
        <v>1</v>
      </c>
      <c r="AJ163">
        <v>7.72</v>
      </c>
      <c r="AK163">
        <v>28.93</v>
      </c>
      <c r="AL163">
        <v>1</v>
      </c>
      <c r="AN163">
        <v>0</v>
      </c>
      <c r="AO163">
        <v>1</v>
      </c>
      <c r="AP163">
        <v>1</v>
      </c>
      <c r="AQ163">
        <v>0</v>
      </c>
      <c r="AR163">
        <v>0</v>
      </c>
      <c r="AS163" t="s">
        <v>3</v>
      </c>
      <c r="AT163">
        <v>1.94</v>
      </c>
      <c r="AU163" t="s">
        <v>20</v>
      </c>
      <c r="AV163">
        <v>0</v>
      </c>
      <c r="AW163">
        <v>2</v>
      </c>
      <c r="AX163">
        <v>47921687</v>
      </c>
      <c r="AY163">
        <v>1</v>
      </c>
      <c r="AZ163">
        <v>0</v>
      </c>
      <c r="BA163">
        <v>168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Y163*Source!I190</f>
        <v>0.12047399999999997</v>
      </c>
      <c r="CY163">
        <f>AB163</f>
        <v>992.02</v>
      </c>
      <c r="CZ163">
        <f>AF163</f>
        <v>128.5</v>
      </c>
      <c r="DA163">
        <f>AJ163</f>
        <v>7.72</v>
      </c>
      <c r="DB163">
        <f t="shared" si="30"/>
        <v>344.02</v>
      </c>
      <c r="DC163">
        <f t="shared" si="31"/>
        <v>35.119999999999997</v>
      </c>
    </row>
    <row r="164" spans="1:107">
      <c r="A164">
        <f>ROW(Source!A190)</f>
        <v>190</v>
      </c>
      <c r="B164">
        <v>47920234</v>
      </c>
      <c r="C164">
        <v>47921676</v>
      </c>
      <c r="D164">
        <v>13555345</v>
      </c>
      <c r="E164">
        <v>1</v>
      </c>
      <c r="F164">
        <v>1</v>
      </c>
      <c r="G164">
        <v>1</v>
      </c>
      <c r="H164">
        <v>2</v>
      </c>
      <c r="I164" t="s">
        <v>596</v>
      </c>
      <c r="J164" t="s">
        <v>597</v>
      </c>
      <c r="K164" t="s">
        <v>598</v>
      </c>
      <c r="L164">
        <v>1368</v>
      </c>
      <c r="N164">
        <v>1011</v>
      </c>
      <c r="O164" t="s">
        <v>468</v>
      </c>
      <c r="P164" t="s">
        <v>468</v>
      </c>
      <c r="Q164">
        <v>1</v>
      </c>
      <c r="W164">
        <v>0</v>
      </c>
      <c r="X164">
        <v>-249495239</v>
      </c>
      <c r="Y164">
        <v>0.63480000000000003</v>
      </c>
      <c r="AA164">
        <v>0</v>
      </c>
      <c r="AB164">
        <v>1040.58</v>
      </c>
      <c r="AC164">
        <v>326.33</v>
      </c>
      <c r="AD164">
        <v>0</v>
      </c>
      <c r="AE164">
        <v>0</v>
      </c>
      <c r="AF164">
        <v>134.79</v>
      </c>
      <c r="AG164">
        <v>11.28</v>
      </c>
      <c r="AH164">
        <v>0</v>
      </c>
      <c r="AI164">
        <v>1</v>
      </c>
      <c r="AJ164">
        <v>7.72</v>
      </c>
      <c r="AK164">
        <v>28.93</v>
      </c>
      <c r="AL164">
        <v>1</v>
      </c>
      <c r="AN164">
        <v>0</v>
      </c>
      <c r="AO164">
        <v>1</v>
      </c>
      <c r="AP164">
        <v>1</v>
      </c>
      <c r="AQ164">
        <v>0</v>
      </c>
      <c r="AR164">
        <v>0</v>
      </c>
      <c r="AS164" t="s">
        <v>3</v>
      </c>
      <c r="AT164">
        <v>0.46</v>
      </c>
      <c r="AU164" t="s">
        <v>20</v>
      </c>
      <c r="AV164">
        <v>0</v>
      </c>
      <c r="AW164">
        <v>2</v>
      </c>
      <c r="AX164">
        <v>47921688</v>
      </c>
      <c r="AY164">
        <v>1</v>
      </c>
      <c r="AZ164">
        <v>0</v>
      </c>
      <c r="BA164">
        <v>169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Y164*Source!I190</f>
        <v>2.8566000000000001E-2</v>
      </c>
      <c r="CY164">
        <f>AB164</f>
        <v>1040.58</v>
      </c>
      <c r="CZ164">
        <f>AF164</f>
        <v>134.79</v>
      </c>
      <c r="DA164">
        <f>AJ164</f>
        <v>7.72</v>
      </c>
      <c r="DB164">
        <f t="shared" si="30"/>
        <v>85.56</v>
      </c>
      <c r="DC164">
        <f t="shared" si="31"/>
        <v>7.16</v>
      </c>
    </row>
    <row r="165" spans="1:107">
      <c r="A165">
        <f>ROW(Source!A191)</f>
        <v>191</v>
      </c>
      <c r="B165">
        <v>47920234</v>
      </c>
      <c r="C165">
        <v>47921689</v>
      </c>
      <c r="D165">
        <v>10019317</v>
      </c>
      <c r="E165">
        <v>1</v>
      </c>
      <c r="F165">
        <v>1</v>
      </c>
      <c r="G165">
        <v>1</v>
      </c>
      <c r="H165">
        <v>1</v>
      </c>
      <c r="I165" t="s">
        <v>642</v>
      </c>
      <c r="J165" t="s">
        <v>3</v>
      </c>
      <c r="K165" t="s">
        <v>643</v>
      </c>
      <c r="L165">
        <v>1476</v>
      </c>
      <c r="N165">
        <v>1013</v>
      </c>
      <c r="O165" t="s">
        <v>644</v>
      </c>
      <c r="P165" t="s">
        <v>645</v>
      </c>
      <c r="Q165">
        <v>1</v>
      </c>
      <c r="W165">
        <v>0</v>
      </c>
      <c r="X165">
        <v>518458013</v>
      </c>
      <c r="Y165">
        <v>0.57769999999999999</v>
      </c>
      <c r="AA165">
        <v>0</v>
      </c>
      <c r="AB165">
        <v>0</v>
      </c>
      <c r="AC165">
        <v>0</v>
      </c>
      <c r="AD165">
        <v>202.22</v>
      </c>
      <c r="AE165">
        <v>0</v>
      </c>
      <c r="AF165">
        <v>0</v>
      </c>
      <c r="AG165">
        <v>0</v>
      </c>
      <c r="AH165">
        <v>6.99</v>
      </c>
      <c r="AI165">
        <v>1</v>
      </c>
      <c r="AJ165">
        <v>1</v>
      </c>
      <c r="AK165">
        <v>1</v>
      </c>
      <c r="AL165">
        <v>28.93</v>
      </c>
      <c r="AN165">
        <v>0</v>
      </c>
      <c r="AO165">
        <v>1</v>
      </c>
      <c r="AP165">
        <v>0</v>
      </c>
      <c r="AQ165">
        <v>0</v>
      </c>
      <c r="AR165">
        <v>0</v>
      </c>
      <c r="AS165" t="s">
        <v>3</v>
      </c>
      <c r="AT165">
        <v>0.57769999999999999</v>
      </c>
      <c r="AU165" t="s">
        <v>3</v>
      </c>
      <c r="AV165">
        <v>1</v>
      </c>
      <c r="AW165">
        <v>2</v>
      </c>
      <c r="AX165">
        <v>47921693</v>
      </c>
      <c r="AY165">
        <v>1</v>
      </c>
      <c r="AZ165">
        <v>0</v>
      </c>
      <c r="BA165">
        <v>170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Y165*Source!I191</f>
        <v>7.7989499999999996</v>
      </c>
      <c r="CY165">
        <f>AD165</f>
        <v>202.22</v>
      </c>
      <c r="CZ165">
        <f>AH165</f>
        <v>6.99</v>
      </c>
      <c r="DA165">
        <f>AL165</f>
        <v>28.93</v>
      </c>
      <c r="DB165">
        <f>ROUND(ROUND(AT165*CZ165,2),2)</f>
        <v>4.04</v>
      </c>
      <c r="DC165">
        <f>ROUND(ROUND(AT165*AG165,2),2)</f>
        <v>0</v>
      </c>
    </row>
    <row r="166" spans="1:107">
      <c r="A166">
        <f>ROW(Source!A191)</f>
        <v>191</v>
      </c>
      <c r="B166">
        <v>47920234</v>
      </c>
      <c r="C166">
        <v>47921689</v>
      </c>
      <c r="D166">
        <v>121548</v>
      </c>
      <c r="E166">
        <v>1</v>
      </c>
      <c r="F166">
        <v>1</v>
      </c>
      <c r="G166">
        <v>1</v>
      </c>
      <c r="H166">
        <v>1</v>
      </c>
      <c r="I166" t="s">
        <v>26</v>
      </c>
      <c r="J166" t="s">
        <v>3</v>
      </c>
      <c r="K166" t="s">
        <v>461</v>
      </c>
      <c r="L166">
        <v>608254</v>
      </c>
      <c r="N166">
        <v>1013</v>
      </c>
      <c r="O166" t="s">
        <v>462</v>
      </c>
      <c r="P166" t="s">
        <v>462</v>
      </c>
      <c r="Q166">
        <v>1</v>
      </c>
      <c r="W166">
        <v>0</v>
      </c>
      <c r="X166">
        <v>-185737400</v>
      </c>
      <c r="Y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1</v>
      </c>
      <c r="AJ166">
        <v>1</v>
      </c>
      <c r="AK166">
        <v>28.93</v>
      </c>
      <c r="AL166">
        <v>1</v>
      </c>
      <c r="AN166">
        <v>0</v>
      </c>
      <c r="AO166">
        <v>1</v>
      </c>
      <c r="AP166">
        <v>0</v>
      </c>
      <c r="AQ166">
        <v>0</v>
      </c>
      <c r="AR166">
        <v>0</v>
      </c>
      <c r="AS166" t="s">
        <v>3</v>
      </c>
      <c r="AT166">
        <v>0</v>
      </c>
      <c r="AU166" t="s">
        <v>3</v>
      </c>
      <c r="AV166">
        <v>2</v>
      </c>
      <c r="AW166">
        <v>2</v>
      </c>
      <c r="AX166">
        <v>47921694</v>
      </c>
      <c r="AY166">
        <v>1</v>
      </c>
      <c r="AZ166">
        <v>0</v>
      </c>
      <c r="BA166">
        <v>171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Y166*Source!I191</f>
        <v>0</v>
      </c>
      <c r="CY166">
        <f>AD166</f>
        <v>0</v>
      </c>
      <c r="CZ166">
        <f>AH166</f>
        <v>0</v>
      </c>
      <c r="DA166">
        <f>AL166</f>
        <v>1</v>
      </c>
      <c r="DB166">
        <f>ROUND(ROUND(AT166*CZ166,2),2)</f>
        <v>0</v>
      </c>
      <c r="DC166">
        <f>ROUND(ROUND(AT166*AG166,2),2)</f>
        <v>0</v>
      </c>
    </row>
    <row r="167" spans="1:107">
      <c r="A167">
        <f>ROW(Source!A191)</f>
        <v>191</v>
      </c>
      <c r="B167">
        <v>47920234</v>
      </c>
      <c r="C167">
        <v>47921689</v>
      </c>
      <c r="D167">
        <v>13556990</v>
      </c>
      <c r="E167">
        <v>1</v>
      </c>
      <c r="F167">
        <v>1</v>
      </c>
      <c r="G167">
        <v>1</v>
      </c>
      <c r="H167">
        <v>2</v>
      </c>
      <c r="I167" t="s">
        <v>613</v>
      </c>
      <c r="J167" t="s">
        <v>614</v>
      </c>
      <c r="K167" t="s">
        <v>615</v>
      </c>
      <c r="L167">
        <v>1368</v>
      </c>
      <c r="N167">
        <v>1011</v>
      </c>
      <c r="O167" t="s">
        <v>468</v>
      </c>
      <c r="P167" t="s">
        <v>468</v>
      </c>
      <c r="Q167">
        <v>1</v>
      </c>
      <c r="W167">
        <v>0</v>
      </c>
      <c r="X167">
        <v>250019253</v>
      </c>
      <c r="Y167">
        <v>0.28999999999999998</v>
      </c>
      <c r="AA167">
        <v>0</v>
      </c>
      <c r="AB167">
        <v>854.45</v>
      </c>
      <c r="AC167">
        <v>0</v>
      </c>
      <c r="AD167">
        <v>0</v>
      </c>
      <c r="AE167">
        <v>0</v>
      </c>
      <c r="AF167">
        <v>110.68</v>
      </c>
      <c r="AG167">
        <v>0</v>
      </c>
      <c r="AH167">
        <v>0</v>
      </c>
      <c r="AI167">
        <v>1</v>
      </c>
      <c r="AJ167">
        <v>7.72</v>
      </c>
      <c r="AK167">
        <v>28.93</v>
      </c>
      <c r="AL167">
        <v>1</v>
      </c>
      <c r="AN167">
        <v>0</v>
      </c>
      <c r="AO167">
        <v>1</v>
      </c>
      <c r="AP167">
        <v>0</v>
      </c>
      <c r="AQ167">
        <v>0</v>
      </c>
      <c r="AR167">
        <v>0</v>
      </c>
      <c r="AS167" t="s">
        <v>3</v>
      </c>
      <c r="AT167">
        <v>0.28999999999999998</v>
      </c>
      <c r="AU167" t="s">
        <v>3</v>
      </c>
      <c r="AV167">
        <v>0</v>
      </c>
      <c r="AW167">
        <v>2</v>
      </c>
      <c r="AX167">
        <v>47921695</v>
      </c>
      <c r="AY167">
        <v>1</v>
      </c>
      <c r="AZ167">
        <v>0</v>
      </c>
      <c r="BA167">
        <v>172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Y167*Source!I191</f>
        <v>3.9149999999999996</v>
      </c>
      <c r="CY167">
        <f>AB167</f>
        <v>854.45</v>
      </c>
      <c r="CZ167">
        <f>AF167</f>
        <v>110.68</v>
      </c>
      <c r="DA167">
        <f>AJ167</f>
        <v>7.72</v>
      </c>
      <c r="DB167">
        <f>ROUND(ROUND(AT167*CZ167,2),2)</f>
        <v>32.1</v>
      </c>
      <c r="DC167">
        <f>ROUND(ROUND(AT167*AG167,2),2)</f>
        <v>0</v>
      </c>
    </row>
    <row r="168" spans="1:107">
      <c r="A168">
        <f>ROW(Source!A193)</f>
        <v>193</v>
      </c>
      <c r="B168">
        <v>47920234</v>
      </c>
      <c r="C168">
        <v>47921697</v>
      </c>
      <c r="D168">
        <v>9914874</v>
      </c>
      <c r="E168">
        <v>1</v>
      </c>
      <c r="F168">
        <v>1</v>
      </c>
      <c r="G168">
        <v>1</v>
      </c>
      <c r="H168">
        <v>1</v>
      </c>
      <c r="I168" t="s">
        <v>458</v>
      </c>
      <c r="J168" t="s">
        <v>3</v>
      </c>
      <c r="K168" t="s">
        <v>459</v>
      </c>
      <c r="L168">
        <v>1191</v>
      </c>
      <c r="N168">
        <v>1013</v>
      </c>
      <c r="O168" t="s">
        <v>460</v>
      </c>
      <c r="P168" t="s">
        <v>460</v>
      </c>
      <c r="Q168">
        <v>1</v>
      </c>
      <c r="W168">
        <v>0</v>
      </c>
      <c r="X168">
        <v>1617615494</v>
      </c>
      <c r="Y168">
        <v>20.810399999999998</v>
      </c>
      <c r="AA168">
        <v>0</v>
      </c>
      <c r="AB168">
        <v>0</v>
      </c>
      <c r="AC168">
        <v>0</v>
      </c>
      <c r="AD168">
        <v>219.29</v>
      </c>
      <c r="AE168">
        <v>0</v>
      </c>
      <c r="AF168">
        <v>0</v>
      </c>
      <c r="AG168">
        <v>0</v>
      </c>
      <c r="AH168">
        <v>7.58</v>
      </c>
      <c r="AI168">
        <v>1</v>
      </c>
      <c r="AJ168">
        <v>1</v>
      </c>
      <c r="AK168">
        <v>1</v>
      </c>
      <c r="AL168">
        <v>28.93</v>
      </c>
      <c r="AN168">
        <v>0</v>
      </c>
      <c r="AO168">
        <v>1</v>
      </c>
      <c r="AP168">
        <v>1</v>
      </c>
      <c r="AQ168">
        <v>0</v>
      </c>
      <c r="AR168">
        <v>0</v>
      </c>
      <c r="AS168" t="s">
        <v>3</v>
      </c>
      <c r="AT168">
        <v>15.08</v>
      </c>
      <c r="AU168" t="s">
        <v>20</v>
      </c>
      <c r="AV168">
        <v>1</v>
      </c>
      <c r="AW168">
        <v>2</v>
      </c>
      <c r="AX168">
        <v>47921703</v>
      </c>
      <c r="AY168">
        <v>1</v>
      </c>
      <c r="AZ168">
        <v>0</v>
      </c>
      <c r="BA168">
        <v>173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Y168*Source!I193</f>
        <v>0.18729359999999998</v>
      </c>
      <c r="CY168">
        <f>AD168</f>
        <v>219.29</v>
      </c>
      <c r="CZ168">
        <f>AH168</f>
        <v>7.58</v>
      </c>
      <c r="DA168">
        <f>AL168</f>
        <v>28.93</v>
      </c>
      <c r="DB168">
        <f>ROUND((ROUND(AT168*CZ168,2)*ROUND((1.2*1.15),7)),2)</f>
        <v>157.75</v>
      </c>
      <c r="DC168">
        <f>ROUND((ROUND(AT168*AG168,2)*ROUND((1.2*1.15),7)),2)</f>
        <v>0</v>
      </c>
    </row>
    <row r="169" spans="1:107">
      <c r="A169">
        <f>ROW(Source!A193)</f>
        <v>193</v>
      </c>
      <c r="B169">
        <v>47920234</v>
      </c>
      <c r="C169">
        <v>47921697</v>
      </c>
      <c r="D169">
        <v>121548</v>
      </c>
      <c r="E169">
        <v>1</v>
      </c>
      <c r="F169">
        <v>1</v>
      </c>
      <c r="G169">
        <v>1</v>
      </c>
      <c r="H169">
        <v>1</v>
      </c>
      <c r="I169" t="s">
        <v>26</v>
      </c>
      <c r="J169" t="s">
        <v>3</v>
      </c>
      <c r="K169" t="s">
        <v>461</v>
      </c>
      <c r="L169">
        <v>608254</v>
      </c>
      <c r="N169">
        <v>1013</v>
      </c>
      <c r="O169" t="s">
        <v>462</v>
      </c>
      <c r="P169" t="s">
        <v>462</v>
      </c>
      <c r="Q169">
        <v>1</v>
      </c>
      <c r="W169">
        <v>0</v>
      </c>
      <c r="X169">
        <v>-185737400</v>
      </c>
      <c r="Y169">
        <v>60.195599999999992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1</v>
      </c>
      <c r="AJ169">
        <v>1</v>
      </c>
      <c r="AK169">
        <v>28.93</v>
      </c>
      <c r="AL169">
        <v>1</v>
      </c>
      <c r="AN169">
        <v>0</v>
      </c>
      <c r="AO169">
        <v>1</v>
      </c>
      <c r="AP169">
        <v>1</v>
      </c>
      <c r="AQ169">
        <v>0</v>
      </c>
      <c r="AR169">
        <v>0</v>
      </c>
      <c r="AS169" t="s">
        <v>3</v>
      </c>
      <c r="AT169">
        <v>43.62</v>
      </c>
      <c r="AU169" t="s">
        <v>20</v>
      </c>
      <c r="AV169">
        <v>2</v>
      </c>
      <c r="AW169">
        <v>2</v>
      </c>
      <c r="AX169">
        <v>47921704</v>
      </c>
      <c r="AY169">
        <v>1</v>
      </c>
      <c r="AZ169">
        <v>0</v>
      </c>
      <c r="BA169">
        <v>174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Y169*Source!I193</f>
        <v>0.54176039999999992</v>
      </c>
      <c r="CY169">
        <f>AD169</f>
        <v>0</v>
      </c>
      <c r="CZ169">
        <f>AH169</f>
        <v>0</v>
      </c>
      <c r="DA169">
        <f>AL169</f>
        <v>1</v>
      </c>
      <c r="DB169">
        <f>ROUND((ROUND(AT169*CZ169,2)*ROUND((1.2*1.15),7)),2)</f>
        <v>0</v>
      </c>
      <c r="DC169">
        <f>ROUND((ROUND(AT169*AG169,2)*ROUND((1.2*1.15),7)),2)</f>
        <v>0</v>
      </c>
    </row>
    <row r="170" spans="1:107">
      <c r="A170">
        <f>ROW(Source!A193)</f>
        <v>193</v>
      </c>
      <c r="B170">
        <v>47920234</v>
      </c>
      <c r="C170">
        <v>47921697</v>
      </c>
      <c r="D170">
        <v>13554894</v>
      </c>
      <c r="E170">
        <v>1</v>
      </c>
      <c r="F170">
        <v>1</v>
      </c>
      <c r="G170">
        <v>1</v>
      </c>
      <c r="H170">
        <v>2</v>
      </c>
      <c r="I170" t="s">
        <v>646</v>
      </c>
      <c r="J170" t="s">
        <v>647</v>
      </c>
      <c r="K170" t="s">
        <v>648</v>
      </c>
      <c r="L170">
        <v>1368</v>
      </c>
      <c r="N170">
        <v>1011</v>
      </c>
      <c r="O170" t="s">
        <v>468</v>
      </c>
      <c r="P170" t="s">
        <v>468</v>
      </c>
      <c r="Q170">
        <v>1</v>
      </c>
      <c r="W170">
        <v>0</v>
      </c>
      <c r="X170">
        <v>-1109981904</v>
      </c>
      <c r="Y170">
        <v>45.926399999999994</v>
      </c>
      <c r="AA170">
        <v>0</v>
      </c>
      <c r="AB170">
        <v>855.53</v>
      </c>
      <c r="AC170">
        <v>379.56</v>
      </c>
      <c r="AD170">
        <v>0</v>
      </c>
      <c r="AE170">
        <v>0</v>
      </c>
      <c r="AF170">
        <v>110.82</v>
      </c>
      <c r="AG170">
        <v>13.12</v>
      </c>
      <c r="AH170">
        <v>0</v>
      </c>
      <c r="AI170">
        <v>1</v>
      </c>
      <c r="AJ170">
        <v>7.72</v>
      </c>
      <c r="AK170">
        <v>28.93</v>
      </c>
      <c r="AL170">
        <v>1</v>
      </c>
      <c r="AN170">
        <v>0</v>
      </c>
      <c r="AO170">
        <v>1</v>
      </c>
      <c r="AP170">
        <v>1</v>
      </c>
      <c r="AQ170">
        <v>0</v>
      </c>
      <c r="AR170">
        <v>0</v>
      </c>
      <c r="AS170" t="s">
        <v>3</v>
      </c>
      <c r="AT170">
        <v>33.28</v>
      </c>
      <c r="AU170" t="s">
        <v>20</v>
      </c>
      <c r="AV170">
        <v>0</v>
      </c>
      <c r="AW170">
        <v>2</v>
      </c>
      <c r="AX170">
        <v>47921705</v>
      </c>
      <c r="AY170">
        <v>1</v>
      </c>
      <c r="AZ170">
        <v>0</v>
      </c>
      <c r="BA170">
        <v>175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Y170*Source!I193</f>
        <v>0.41333759999999992</v>
      </c>
      <c r="CY170">
        <f>AB170</f>
        <v>855.53</v>
      </c>
      <c r="CZ170">
        <f>AF170</f>
        <v>110.82</v>
      </c>
      <c r="DA170">
        <f>AJ170</f>
        <v>7.72</v>
      </c>
      <c r="DB170">
        <f>ROUND((ROUND(AT170*CZ170,2)*ROUND((1.2*1.15),7)),2)</f>
        <v>5089.5600000000004</v>
      </c>
      <c r="DC170">
        <f>ROUND((ROUND(AT170*AG170,2)*ROUND((1.2*1.15),7)),2)</f>
        <v>602.54999999999995</v>
      </c>
    </row>
    <row r="171" spans="1:107">
      <c r="A171">
        <f>ROW(Source!A193)</f>
        <v>193</v>
      </c>
      <c r="B171">
        <v>47920234</v>
      </c>
      <c r="C171">
        <v>47921697</v>
      </c>
      <c r="D171">
        <v>13554973</v>
      </c>
      <c r="E171">
        <v>1</v>
      </c>
      <c r="F171">
        <v>1</v>
      </c>
      <c r="G171">
        <v>1</v>
      </c>
      <c r="H171">
        <v>2</v>
      </c>
      <c r="I171" t="s">
        <v>649</v>
      </c>
      <c r="J171" t="s">
        <v>650</v>
      </c>
      <c r="K171" t="s">
        <v>651</v>
      </c>
      <c r="L171">
        <v>1368</v>
      </c>
      <c r="N171">
        <v>1011</v>
      </c>
      <c r="O171" t="s">
        <v>468</v>
      </c>
      <c r="P171" t="s">
        <v>468</v>
      </c>
      <c r="Q171">
        <v>1</v>
      </c>
      <c r="W171">
        <v>0</v>
      </c>
      <c r="X171">
        <v>-884784342</v>
      </c>
      <c r="Y171">
        <v>14.269199999999998</v>
      </c>
      <c r="AA171">
        <v>0</v>
      </c>
      <c r="AB171">
        <v>650.55999999999995</v>
      </c>
      <c r="AC171">
        <v>379.56</v>
      </c>
      <c r="AD171">
        <v>0</v>
      </c>
      <c r="AE171">
        <v>0</v>
      </c>
      <c r="AF171">
        <v>84.27</v>
      </c>
      <c r="AG171">
        <v>13.12</v>
      </c>
      <c r="AH171">
        <v>0</v>
      </c>
      <c r="AI171">
        <v>1</v>
      </c>
      <c r="AJ171">
        <v>7.72</v>
      </c>
      <c r="AK171">
        <v>28.93</v>
      </c>
      <c r="AL171">
        <v>1</v>
      </c>
      <c r="AN171">
        <v>0</v>
      </c>
      <c r="AO171">
        <v>1</v>
      </c>
      <c r="AP171">
        <v>1</v>
      </c>
      <c r="AQ171">
        <v>0</v>
      </c>
      <c r="AR171">
        <v>0</v>
      </c>
      <c r="AS171" t="s">
        <v>3</v>
      </c>
      <c r="AT171">
        <v>10.34</v>
      </c>
      <c r="AU171" t="s">
        <v>20</v>
      </c>
      <c r="AV171">
        <v>0</v>
      </c>
      <c r="AW171">
        <v>2</v>
      </c>
      <c r="AX171">
        <v>47921706</v>
      </c>
      <c r="AY171">
        <v>1</v>
      </c>
      <c r="AZ171">
        <v>0</v>
      </c>
      <c r="BA171">
        <v>176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Y171*Source!I193</f>
        <v>0.12842279999999998</v>
      </c>
      <c r="CY171">
        <f>AB171</f>
        <v>650.55999999999995</v>
      </c>
      <c r="CZ171">
        <f>AF171</f>
        <v>84.27</v>
      </c>
      <c r="DA171">
        <f>AJ171</f>
        <v>7.72</v>
      </c>
      <c r="DB171">
        <f>ROUND((ROUND(AT171*CZ171,2)*ROUND((1.2*1.15),7)),2)</f>
        <v>1202.46</v>
      </c>
      <c r="DC171">
        <f>ROUND((ROUND(AT171*AG171,2)*ROUND((1.2*1.15),7)),2)</f>
        <v>187.21</v>
      </c>
    </row>
    <row r="172" spans="1:107">
      <c r="A172">
        <f>ROW(Source!A193)</f>
        <v>193</v>
      </c>
      <c r="B172">
        <v>47920234</v>
      </c>
      <c r="C172">
        <v>47921697</v>
      </c>
      <c r="D172">
        <v>13636967</v>
      </c>
      <c r="E172">
        <v>1</v>
      </c>
      <c r="F172">
        <v>1</v>
      </c>
      <c r="G172">
        <v>1</v>
      </c>
      <c r="H172">
        <v>3</v>
      </c>
      <c r="I172" t="s">
        <v>652</v>
      </c>
      <c r="J172" t="s">
        <v>653</v>
      </c>
      <c r="K172" t="s">
        <v>654</v>
      </c>
      <c r="L172">
        <v>1339</v>
      </c>
      <c r="N172">
        <v>1007</v>
      </c>
      <c r="O172" t="s">
        <v>298</v>
      </c>
      <c r="P172" t="s">
        <v>298</v>
      </c>
      <c r="Q172">
        <v>1</v>
      </c>
      <c r="W172">
        <v>0</v>
      </c>
      <c r="X172">
        <v>-231541816</v>
      </c>
      <c r="Y172">
        <v>0.04</v>
      </c>
      <c r="AA172">
        <v>1438.4</v>
      </c>
      <c r="AB172">
        <v>0</v>
      </c>
      <c r="AC172">
        <v>0</v>
      </c>
      <c r="AD172">
        <v>0</v>
      </c>
      <c r="AE172">
        <v>279.3</v>
      </c>
      <c r="AF172">
        <v>0</v>
      </c>
      <c r="AG172">
        <v>0</v>
      </c>
      <c r="AH172">
        <v>0</v>
      </c>
      <c r="AI172">
        <v>5.15</v>
      </c>
      <c r="AJ172">
        <v>1</v>
      </c>
      <c r="AK172">
        <v>1</v>
      </c>
      <c r="AL172">
        <v>1</v>
      </c>
      <c r="AN172">
        <v>0</v>
      </c>
      <c r="AO172">
        <v>1</v>
      </c>
      <c r="AP172">
        <v>0</v>
      </c>
      <c r="AQ172">
        <v>0</v>
      </c>
      <c r="AR172">
        <v>0</v>
      </c>
      <c r="AS172" t="s">
        <v>3</v>
      </c>
      <c r="AT172">
        <v>0.04</v>
      </c>
      <c r="AU172" t="s">
        <v>3</v>
      </c>
      <c r="AV172">
        <v>0</v>
      </c>
      <c r="AW172">
        <v>2</v>
      </c>
      <c r="AX172">
        <v>47921707</v>
      </c>
      <c r="AY172">
        <v>1</v>
      </c>
      <c r="AZ172">
        <v>0</v>
      </c>
      <c r="BA172">
        <v>177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Y172*Source!I193</f>
        <v>3.5999999999999997E-4</v>
      </c>
      <c r="CY172">
        <f>AA172</f>
        <v>1438.4</v>
      </c>
      <c r="CZ172">
        <f>AE172</f>
        <v>279.3</v>
      </c>
      <c r="DA172">
        <f>AI172</f>
        <v>5.15</v>
      </c>
      <c r="DB172">
        <f>ROUND(ROUND(AT172*CZ172,2),2)</f>
        <v>11.17</v>
      </c>
      <c r="DC172">
        <f>ROUND(ROUND(AT172*AG172,2),2)</f>
        <v>0</v>
      </c>
    </row>
    <row r="173" spans="1:107">
      <c r="A173">
        <f>ROW(Source!A195)</f>
        <v>195</v>
      </c>
      <c r="B173">
        <v>47920234</v>
      </c>
      <c r="C173">
        <v>47921709</v>
      </c>
      <c r="D173">
        <v>121548</v>
      </c>
      <c r="E173">
        <v>1</v>
      </c>
      <c r="F173">
        <v>1</v>
      </c>
      <c r="G173">
        <v>1</v>
      </c>
      <c r="H173">
        <v>1</v>
      </c>
      <c r="I173" t="s">
        <v>26</v>
      </c>
      <c r="J173" t="s">
        <v>3</v>
      </c>
      <c r="K173" t="s">
        <v>461</v>
      </c>
      <c r="L173">
        <v>608254</v>
      </c>
      <c r="N173">
        <v>1013</v>
      </c>
      <c r="O173" t="s">
        <v>462</v>
      </c>
      <c r="P173" t="s">
        <v>462</v>
      </c>
      <c r="Q173">
        <v>1</v>
      </c>
      <c r="W173">
        <v>0</v>
      </c>
      <c r="X173">
        <v>-185737400</v>
      </c>
      <c r="Y173">
        <v>1.518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1</v>
      </c>
      <c r="AJ173">
        <v>1</v>
      </c>
      <c r="AK173">
        <v>28.93</v>
      </c>
      <c r="AL173">
        <v>1</v>
      </c>
      <c r="AN173">
        <v>0</v>
      </c>
      <c r="AO173">
        <v>1</v>
      </c>
      <c r="AP173">
        <v>1</v>
      </c>
      <c r="AQ173">
        <v>0</v>
      </c>
      <c r="AR173">
        <v>0</v>
      </c>
      <c r="AS173" t="s">
        <v>3</v>
      </c>
      <c r="AT173">
        <v>1.1000000000000001</v>
      </c>
      <c r="AU173" t="s">
        <v>20</v>
      </c>
      <c r="AV173">
        <v>2</v>
      </c>
      <c r="AW173">
        <v>2</v>
      </c>
      <c r="AX173">
        <v>47921713</v>
      </c>
      <c r="AY173">
        <v>1</v>
      </c>
      <c r="AZ173">
        <v>0</v>
      </c>
      <c r="BA173">
        <v>178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Y173*Source!I195</f>
        <v>4.5539999999999997E-2</v>
      </c>
      <c r="CY173">
        <f>AD173</f>
        <v>0</v>
      </c>
      <c r="CZ173">
        <f>AH173</f>
        <v>0</v>
      </c>
      <c r="DA173">
        <f>AL173</f>
        <v>1</v>
      </c>
      <c r="DB173">
        <f t="shared" ref="DB173:DB191" si="32">ROUND((ROUND(AT173*CZ173,2)*ROUND((1.2*1.15),7)),2)</f>
        <v>0</v>
      </c>
      <c r="DC173">
        <f t="shared" ref="DC173:DC191" si="33">ROUND((ROUND(AT173*AG173,2)*ROUND((1.2*1.15),7)),2)</f>
        <v>0</v>
      </c>
    </row>
    <row r="174" spans="1:107">
      <c r="A174">
        <f>ROW(Source!A195)</f>
        <v>195</v>
      </c>
      <c r="B174">
        <v>47920234</v>
      </c>
      <c r="C174">
        <v>47921709</v>
      </c>
      <c r="D174">
        <v>13554973</v>
      </c>
      <c r="E174">
        <v>1</v>
      </c>
      <c r="F174">
        <v>1</v>
      </c>
      <c r="G174">
        <v>1</v>
      </c>
      <c r="H174">
        <v>2</v>
      </c>
      <c r="I174" t="s">
        <v>649</v>
      </c>
      <c r="J174" t="s">
        <v>650</v>
      </c>
      <c r="K174" t="s">
        <v>651</v>
      </c>
      <c r="L174">
        <v>1368</v>
      </c>
      <c r="N174">
        <v>1011</v>
      </c>
      <c r="O174" t="s">
        <v>468</v>
      </c>
      <c r="P174" t="s">
        <v>468</v>
      </c>
      <c r="Q174">
        <v>1</v>
      </c>
      <c r="W174">
        <v>0</v>
      </c>
      <c r="X174">
        <v>-884784342</v>
      </c>
      <c r="Y174">
        <v>0.92459999999999998</v>
      </c>
      <c r="AA174">
        <v>0</v>
      </c>
      <c r="AB174">
        <v>650.55999999999995</v>
      </c>
      <c r="AC174">
        <v>379.56</v>
      </c>
      <c r="AD174">
        <v>0</v>
      </c>
      <c r="AE174">
        <v>0</v>
      </c>
      <c r="AF174">
        <v>84.27</v>
      </c>
      <c r="AG174">
        <v>13.12</v>
      </c>
      <c r="AH174">
        <v>0</v>
      </c>
      <c r="AI174">
        <v>1</v>
      </c>
      <c r="AJ174">
        <v>7.72</v>
      </c>
      <c r="AK174">
        <v>28.93</v>
      </c>
      <c r="AL174">
        <v>1</v>
      </c>
      <c r="AN174">
        <v>0</v>
      </c>
      <c r="AO174">
        <v>1</v>
      </c>
      <c r="AP174">
        <v>1</v>
      </c>
      <c r="AQ174">
        <v>0</v>
      </c>
      <c r="AR174">
        <v>0</v>
      </c>
      <c r="AS174" t="s">
        <v>3</v>
      </c>
      <c r="AT174">
        <v>0.67</v>
      </c>
      <c r="AU174" t="s">
        <v>20</v>
      </c>
      <c r="AV174">
        <v>0</v>
      </c>
      <c r="AW174">
        <v>2</v>
      </c>
      <c r="AX174">
        <v>47921714</v>
      </c>
      <c r="AY174">
        <v>1</v>
      </c>
      <c r="AZ174">
        <v>0</v>
      </c>
      <c r="BA174">
        <v>179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Y174*Source!I195</f>
        <v>2.7737999999999999E-2</v>
      </c>
      <c r="CY174">
        <f>AB174</f>
        <v>650.55999999999995</v>
      </c>
      <c r="CZ174">
        <f>AF174</f>
        <v>84.27</v>
      </c>
      <c r="DA174">
        <f>AJ174</f>
        <v>7.72</v>
      </c>
      <c r="DB174">
        <f t="shared" si="32"/>
        <v>77.91</v>
      </c>
      <c r="DC174">
        <f t="shared" si="33"/>
        <v>12.13</v>
      </c>
    </row>
    <row r="175" spans="1:107">
      <c r="A175">
        <f>ROW(Source!A195)</f>
        <v>195</v>
      </c>
      <c r="B175">
        <v>47920234</v>
      </c>
      <c r="C175">
        <v>47921709</v>
      </c>
      <c r="D175">
        <v>13555234</v>
      </c>
      <c r="E175">
        <v>1</v>
      </c>
      <c r="F175">
        <v>1</v>
      </c>
      <c r="G175">
        <v>1</v>
      </c>
      <c r="H175">
        <v>2</v>
      </c>
      <c r="I175" t="s">
        <v>630</v>
      </c>
      <c r="J175" t="s">
        <v>631</v>
      </c>
      <c r="K175" t="s">
        <v>632</v>
      </c>
      <c r="L175">
        <v>1368</v>
      </c>
      <c r="N175">
        <v>1011</v>
      </c>
      <c r="O175" t="s">
        <v>468</v>
      </c>
      <c r="P175" t="s">
        <v>468</v>
      </c>
      <c r="Q175">
        <v>1</v>
      </c>
      <c r="W175">
        <v>0</v>
      </c>
      <c r="X175">
        <v>-1121905244</v>
      </c>
      <c r="Y175">
        <v>0.59339999999999993</v>
      </c>
      <c r="AA175">
        <v>0</v>
      </c>
      <c r="AB175">
        <v>992.02</v>
      </c>
      <c r="AC175">
        <v>379.56</v>
      </c>
      <c r="AD175">
        <v>0</v>
      </c>
      <c r="AE175">
        <v>0</v>
      </c>
      <c r="AF175">
        <v>128.5</v>
      </c>
      <c r="AG175">
        <v>13.12</v>
      </c>
      <c r="AH175">
        <v>0</v>
      </c>
      <c r="AI175">
        <v>1</v>
      </c>
      <c r="AJ175">
        <v>7.72</v>
      </c>
      <c r="AK175">
        <v>28.93</v>
      </c>
      <c r="AL175">
        <v>1</v>
      </c>
      <c r="AN175">
        <v>0</v>
      </c>
      <c r="AO175">
        <v>1</v>
      </c>
      <c r="AP175">
        <v>1</v>
      </c>
      <c r="AQ175">
        <v>0</v>
      </c>
      <c r="AR175">
        <v>0</v>
      </c>
      <c r="AS175" t="s">
        <v>3</v>
      </c>
      <c r="AT175">
        <v>0.43</v>
      </c>
      <c r="AU175" t="s">
        <v>20</v>
      </c>
      <c r="AV175">
        <v>0</v>
      </c>
      <c r="AW175">
        <v>2</v>
      </c>
      <c r="AX175">
        <v>47921715</v>
      </c>
      <c r="AY175">
        <v>1</v>
      </c>
      <c r="AZ175">
        <v>0</v>
      </c>
      <c r="BA175">
        <v>180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Y175*Source!I195</f>
        <v>1.7801999999999998E-2</v>
      </c>
      <c r="CY175">
        <f>AB175</f>
        <v>992.02</v>
      </c>
      <c r="CZ175">
        <f>AF175</f>
        <v>128.5</v>
      </c>
      <c r="DA175">
        <f>AJ175</f>
        <v>7.72</v>
      </c>
      <c r="DB175">
        <f t="shared" si="32"/>
        <v>76.260000000000005</v>
      </c>
      <c r="DC175">
        <f t="shared" si="33"/>
        <v>7.78</v>
      </c>
    </row>
    <row r="176" spans="1:107">
      <c r="A176">
        <f>ROW(Source!A196)</f>
        <v>196</v>
      </c>
      <c r="B176">
        <v>47920234</v>
      </c>
      <c r="C176">
        <v>47921716</v>
      </c>
      <c r="D176">
        <v>121548</v>
      </c>
      <c r="E176">
        <v>1</v>
      </c>
      <c r="F176">
        <v>1</v>
      </c>
      <c r="G176">
        <v>1</v>
      </c>
      <c r="H176">
        <v>1</v>
      </c>
      <c r="I176" t="s">
        <v>26</v>
      </c>
      <c r="J176" t="s">
        <v>3</v>
      </c>
      <c r="K176" t="s">
        <v>461</v>
      </c>
      <c r="L176">
        <v>608254</v>
      </c>
      <c r="N176">
        <v>1013</v>
      </c>
      <c r="O176" t="s">
        <v>462</v>
      </c>
      <c r="P176" t="s">
        <v>462</v>
      </c>
      <c r="Q176">
        <v>1</v>
      </c>
      <c r="W176">
        <v>0</v>
      </c>
      <c r="X176">
        <v>-185737400</v>
      </c>
      <c r="Y176">
        <v>10.915799999999997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1</v>
      </c>
      <c r="AJ176">
        <v>1</v>
      </c>
      <c r="AK176">
        <v>28.93</v>
      </c>
      <c r="AL176">
        <v>1</v>
      </c>
      <c r="AN176">
        <v>0</v>
      </c>
      <c r="AO176">
        <v>1</v>
      </c>
      <c r="AP176">
        <v>1</v>
      </c>
      <c r="AQ176">
        <v>0</v>
      </c>
      <c r="AR176">
        <v>0</v>
      </c>
      <c r="AS176" t="s">
        <v>3</v>
      </c>
      <c r="AT176">
        <v>7.91</v>
      </c>
      <c r="AU176" t="s">
        <v>20</v>
      </c>
      <c r="AV176">
        <v>2</v>
      </c>
      <c r="AW176">
        <v>2</v>
      </c>
      <c r="AX176">
        <v>47921721</v>
      </c>
      <c r="AY176">
        <v>1</v>
      </c>
      <c r="AZ176">
        <v>0</v>
      </c>
      <c r="BA176">
        <v>181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Y176*Source!I196</f>
        <v>0.16373699999999997</v>
      </c>
      <c r="CY176">
        <f>AD176</f>
        <v>0</v>
      </c>
      <c r="CZ176">
        <f>AH176</f>
        <v>0</v>
      </c>
      <c r="DA176">
        <f>AL176</f>
        <v>1</v>
      </c>
      <c r="DB176">
        <f t="shared" si="32"/>
        <v>0</v>
      </c>
      <c r="DC176">
        <f t="shared" si="33"/>
        <v>0</v>
      </c>
    </row>
    <row r="177" spans="1:107">
      <c r="A177">
        <f>ROW(Source!A196)</f>
        <v>196</v>
      </c>
      <c r="B177">
        <v>47920234</v>
      </c>
      <c r="C177">
        <v>47921716</v>
      </c>
      <c r="D177">
        <v>13554447</v>
      </c>
      <c r="E177">
        <v>1</v>
      </c>
      <c r="F177">
        <v>1</v>
      </c>
      <c r="G177">
        <v>1</v>
      </c>
      <c r="H177">
        <v>2</v>
      </c>
      <c r="I177" t="s">
        <v>655</v>
      </c>
      <c r="J177" t="s">
        <v>656</v>
      </c>
      <c r="K177" t="s">
        <v>657</v>
      </c>
      <c r="L177">
        <v>1368</v>
      </c>
      <c r="N177">
        <v>1011</v>
      </c>
      <c r="O177" t="s">
        <v>468</v>
      </c>
      <c r="P177" t="s">
        <v>468</v>
      </c>
      <c r="Q177">
        <v>1</v>
      </c>
      <c r="W177">
        <v>0</v>
      </c>
      <c r="X177">
        <v>-699544228</v>
      </c>
      <c r="Y177">
        <v>1.1729999999999998</v>
      </c>
      <c r="AA177">
        <v>0</v>
      </c>
      <c r="AB177">
        <v>656.89</v>
      </c>
      <c r="AC177">
        <v>405.02</v>
      </c>
      <c r="AD177">
        <v>0</v>
      </c>
      <c r="AE177">
        <v>0</v>
      </c>
      <c r="AF177">
        <v>85.09</v>
      </c>
      <c r="AG177">
        <v>14</v>
      </c>
      <c r="AH177">
        <v>0</v>
      </c>
      <c r="AI177">
        <v>1</v>
      </c>
      <c r="AJ177">
        <v>7.72</v>
      </c>
      <c r="AK177">
        <v>28.93</v>
      </c>
      <c r="AL177">
        <v>1</v>
      </c>
      <c r="AN177">
        <v>0</v>
      </c>
      <c r="AO177">
        <v>1</v>
      </c>
      <c r="AP177">
        <v>1</v>
      </c>
      <c r="AQ177">
        <v>0</v>
      </c>
      <c r="AR177">
        <v>0</v>
      </c>
      <c r="AS177" t="s">
        <v>3</v>
      </c>
      <c r="AT177">
        <v>0.85</v>
      </c>
      <c r="AU177" t="s">
        <v>20</v>
      </c>
      <c r="AV177">
        <v>0</v>
      </c>
      <c r="AW177">
        <v>2</v>
      </c>
      <c r="AX177">
        <v>47921722</v>
      </c>
      <c r="AY177">
        <v>1</v>
      </c>
      <c r="AZ177">
        <v>0</v>
      </c>
      <c r="BA177">
        <v>182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Y177*Source!I196</f>
        <v>1.7594999999999996E-2</v>
      </c>
      <c r="CY177">
        <f>AB177</f>
        <v>656.89</v>
      </c>
      <c r="CZ177">
        <f>AF177</f>
        <v>85.09</v>
      </c>
      <c r="DA177">
        <f>AJ177</f>
        <v>7.72</v>
      </c>
      <c r="DB177">
        <f t="shared" si="32"/>
        <v>99.82</v>
      </c>
      <c r="DC177">
        <f t="shared" si="33"/>
        <v>16.420000000000002</v>
      </c>
    </row>
    <row r="178" spans="1:107">
      <c r="A178">
        <f>ROW(Source!A196)</f>
        <v>196</v>
      </c>
      <c r="B178">
        <v>47920234</v>
      </c>
      <c r="C178">
        <v>47921716</v>
      </c>
      <c r="D178">
        <v>13554973</v>
      </c>
      <c r="E178">
        <v>1</v>
      </c>
      <c r="F178">
        <v>1</v>
      </c>
      <c r="G178">
        <v>1</v>
      </c>
      <c r="H178">
        <v>2</v>
      </c>
      <c r="I178" t="s">
        <v>649</v>
      </c>
      <c r="J178" t="s">
        <v>650</v>
      </c>
      <c r="K178" t="s">
        <v>651</v>
      </c>
      <c r="L178">
        <v>1368</v>
      </c>
      <c r="N178">
        <v>1011</v>
      </c>
      <c r="O178" t="s">
        <v>468</v>
      </c>
      <c r="P178" t="s">
        <v>468</v>
      </c>
      <c r="Q178">
        <v>1</v>
      </c>
      <c r="W178">
        <v>0</v>
      </c>
      <c r="X178">
        <v>-884784342</v>
      </c>
      <c r="Y178">
        <v>9.742799999999999</v>
      </c>
      <c r="AA178">
        <v>0</v>
      </c>
      <c r="AB178">
        <v>650.55999999999995</v>
      </c>
      <c r="AC178">
        <v>379.56</v>
      </c>
      <c r="AD178">
        <v>0</v>
      </c>
      <c r="AE178">
        <v>0</v>
      </c>
      <c r="AF178">
        <v>84.27</v>
      </c>
      <c r="AG178">
        <v>13.12</v>
      </c>
      <c r="AH178">
        <v>0</v>
      </c>
      <c r="AI178">
        <v>1</v>
      </c>
      <c r="AJ178">
        <v>7.72</v>
      </c>
      <c r="AK178">
        <v>28.93</v>
      </c>
      <c r="AL178">
        <v>1</v>
      </c>
      <c r="AN178">
        <v>0</v>
      </c>
      <c r="AO178">
        <v>1</v>
      </c>
      <c r="AP178">
        <v>1</v>
      </c>
      <c r="AQ178">
        <v>0</v>
      </c>
      <c r="AR178">
        <v>0</v>
      </c>
      <c r="AS178" t="s">
        <v>3</v>
      </c>
      <c r="AT178">
        <v>7.06</v>
      </c>
      <c r="AU178" t="s">
        <v>20</v>
      </c>
      <c r="AV178">
        <v>0</v>
      </c>
      <c r="AW178">
        <v>2</v>
      </c>
      <c r="AX178">
        <v>47921723</v>
      </c>
      <c r="AY178">
        <v>1</v>
      </c>
      <c r="AZ178">
        <v>0</v>
      </c>
      <c r="BA178">
        <v>183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Y178*Source!I196</f>
        <v>0.14614199999999997</v>
      </c>
      <c r="CY178">
        <f>AB178</f>
        <v>650.55999999999995</v>
      </c>
      <c r="CZ178">
        <f>AF178</f>
        <v>84.27</v>
      </c>
      <c r="DA178">
        <f>AJ178</f>
        <v>7.72</v>
      </c>
      <c r="DB178">
        <f t="shared" si="32"/>
        <v>821.03</v>
      </c>
      <c r="DC178">
        <f t="shared" si="33"/>
        <v>127.83</v>
      </c>
    </row>
    <row r="179" spans="1:107">
      <c r="A179">
        <f>ROW(Source!A196)</f>
        <v>196</v>
      </c>
      <c r="B179">
        <v>47920234</v>
      </c>
      <c r="C179">
        <v>47921716</v>
      </c>
      <c r="D179">
        <v>13555251</v>
      </c>
      <c r="E179">
        <v>1</v>
      </c>
      <c r="F179">
        <v>1</v>
      </c>
      <c r="G179">
        <v>1</v>
      </c>
      <c r="H179">
        <v>2</v>
      </c>
      <c r="I179" t="s">
        <v>658</v>
      </c>
      <c r="J179" t="s">
        <v>659</v>
      </c>
      <c r="K179" t="s">
        <v>660</v>
      </c>
      <c r="L179">
        <v>1368</v>
      </c>
      <c r="N179">
        <v>1011</v>
      </c>
      <c r="O179" t="s">
        <v>468</v>
      </c>
      <c r="P179" t="s">
        <v>468</v>
      </c>
      <c r="Q179">
        <v>1</v>
      </c>
      <c r="W179">
        <v>0</v>
      </c>
      <c r="X179">
        <v>-1729990392</v>
      </c>
      <c r="Y179">
        <v>1.1729999999999998</v>
      </c>
      <c r="AA179">
        <v>0</v>
      </c>
      <c r="AB179">
        <v>404.45</v>
      </c>
      <c r="AC179">
        <v>0</v>
      </c>
      <c r="AD179">
        <v>0</v>
      </c>
      <c r="AE179">
        <v>0</v>
      </c>
      <c r="AF179">
        <v>52.39</v>
      </c>
      <c r="AG179">
        <v>0</v>
      </c>
      <c r="AH179">
        <v>0</v>
      </c>
      <c r="AI179">
        <v>1</v>
      </c>
      <c r="AJ179">
        <v>7.72</v>
      </c>
      <c r="AK179">
        <v>28.93</v>
      </c>
      <c r="AL179">
        <v>1</v>
      </c>
      <c r="AN179">
        <v>0</v>
      </c>
      <c r="AO179">
        <v>1</v>
      </c>
      <c r="AP179">
        <v>1</v>
      </c>
      <c r="AQ179">
        <v>0</v>
      </c>
      <c r="AR179">
        <v>0</v>
      </c>
      <c r="AS179" t="s">
        <v>3</v>
      </c>
      <c r="AT179">
        <v>0.85</v>
      </c>
      <c r="AU179" t="s">
        <v>20</v>
      </c>
      <c r="AV179">
        <v>0</v>
      </c>
      <c r="AW179">
        <v>2</v>
      </c>
      <c r="AX179">
        <v>47921724</v>
      </c>
      <c r="AY179">
        <v>1</v>
      </c>
      <c r="AZ179">
        <v>0</v>
      </c>
      <c r="BA179">
        <v>184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Y179*Source!I196</f>
        <v>1.7594999999999996E-2</v>
      </c>
      <c r="CY179">
        <f>AB179</f>
        <v>404.45</v>
      </c>
      <c r="CZ179">
        <f>AF179</f>
        <v>52.39</v>
      </c>
      <c r="DA179">
        <f>AJ179</f>
        <v>7.72</v>
      </c>
      <c r="DB179">
        <f t="shared" si="32"/>
        <v>61.45</v>
      </c>
      <c r="DC179">
        <f t="shared" si="33"/>
        <v>0</v>
      </c>
    </row>
    <row r="180" spans="1:107">
      <c r="A180">
        <f>ROW(Source!A197)</f>
        <v>197</v>
      </c>
      <c r="B180">
        <v>47920234</v>
      </c>
      <c r="C180">
        <v>47921725</v>
      </c>
      <c r="D180">
        <v>121548</v>
      </c>
      <c r="E180">
        <v>1</v>
      </c>
      <c r="F180">
        <v>1</v>
      </c>
      <c r="G180">
        <v>1</v>
      </c>
      <c r="H180">
        <v>1</v>
      </c>
      <c r="I180" t="s">
        <v>26</v>
      </c>
      <c r="J180" t="s">
        <v>3</v>
      </c>
      <c r="K180" t="s">
        <v>461</v>
      </c>
      <c r="L180">
        <v>608254</v>
      </c>
      <c r="N180">
        <v>1013</v>
      </c>
      <c r="O180" t="s">
        <v>462</v>
      </c>
      <c r="P180" t="s">
        <v>462</v>
      </c>
      <c r="Q180">
        <v>1</v>
      </c>
      <c r="W180">
        <v>0</v>
      </c>
      <c r="X180">
        <v>-185737400</v>
      </c>
      <c r="Y180">
        <v>1.1729999999999998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1</v>
      </c>
      <c r="AJ180">
        <v>1</v>
      </c>
      <c r="AK180">
        <v>28.93</v>
      </c>
      <c r="AL180">
        <v>1</v>
      </c>
      <c r="AN180">
        <v>0</v>
      </c>
      <c r="AO180">
        <v>1</v>
      </c>
      <c r="AP180">
        <v>1</v>
      </c>
      <c r="AQ180">
        <v>0</v>
      </c>
      <c r="AR180">
        <v>0</v>
      </c>
      <c r="AS180" t="s">
        <v>3</v>
      </c>
      <c r="AT180">
        <v>0.85</v>
      </c>
      <c r="AU180" t="s">
        <v>20</v>
      </c>
      <c r="AV180">
        <v>2</v>
      </c>
      <c r="AW180">
        <v>2</v>
      </c>
      <c r="AX180">
        <v>47921729</v>
      </c>
      <c r="AY180">
        <v>1</v>
      </c>
      <c r="AZ180">
        <v>0</v>
      </c>
      <c r="BA180">
        <v>185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Y180*Source!I197</f>
        <v>1.7594999999999996E-2</v>
      </c>
      <c r="CY180">
        <f>AD180</f>
        <v>0</v>
      </c>
      <c r="CZ180">
        <f>AH180</f>
        <v>0</v>
      </c>
      <c r="DA180">
        <f>AL180</f>
        <v>1</v>
      </c>
      <c r="DB180">
        <f t="shared" si="32"/>
        <v>0</v>
      </c>
      <c r="DC180">
        <f t="shared" si="33"/>
        <v>0</v>
      </c>
    </row>
    <row r="181" spans="1:107">
      <c r="A181">
        <f>ROW(Source!A197)</f>
        <v>197</v>
      </c>
      <c r="B181">
        <v>47920234</v>
      </c>
      <c r="C181">
        <v>47921725</v>
      </c>
      <c r="D181">
        <v>13554447</v>
      </c>
      <c r="E181">
        <v>1</v>
      </c>
      <c r="F181">
        <v>1</v>
      </c>
      <c r="G181">
        <v>1</v>
      </c>
      <c r="H181">
        <v>2</v>
      </c>
      <c r="I181" t="s">
        <v>655</v>
      </c>
      <c r="J181" t="s">
        <v>656</v>
      </c>
      <c r="K181" t="s">
        <v>657</v>
      </c>
      <c r="L181">
        <v>1368</v>
      </c>
      <c r="N181">
        <v>1011</v>
      </c>
      <c r="O181" t="s">
        <v>468</v>
      </c>
      <c r="P181" t="s">
        <v>468</v>
      </c>
      <c r="Q181">
        <v>1</v>
      </c>
      <c r="W181">
        <v>0</v>
      </c>
      <c r="X181">
        <v>-699544228</v>
      </c>
      <c r="Y181">
        <v>1.1729999999999998</v>
      </c>
      <c r="AA181">
        <v>0</v>
      </c>
      <c r="AB181">
        <v>656.89</v>
      </c>
      <c r="AC181">
        <v>405.02</v>
      </c>
      <c r="AD181">
        <v>0</v>
      </c>
      <c r="AE181">
        <v>0</v>
      </c>
      <c r="AF181">
        <v>85.09</v>
      </c>
      <c r="AG181">
        <v>14</v>
      </c>
      <c r="AH181">
        <v>0</v>
      </c>
      <c r="AI181">
        <v>1</v>
      </c>
      <c r="AJ181">
        <v>7.72</v>
      </c>
      <c r="AK181">
        <v>28.93</v>
      </c>
      <c r="AL181">
        <v>1</v>
      </c>
      <c r="AN181">
        <v>0</v>
      </c>
      <c r="AO181">
        <v>1</v>
      </c>
      <c r="AP181">
        <v>1</v>
      </c>
      <c r="AQ181">
        <v>0</v>
      </c>
      <c r="AR181">
        <v>0</v>
      </c>
      <c r="AS181" t="s">
        <v>3</v>
      </c>
      <c r="AT181">
        <v>0.85</v>
      </c>
      <c r="AU181" t="s">
        <v>20</v>
      </c>
      <c r="AV181">
        <v>0</v>
      </c>
      <c r="AW181">
        <v>2</v>
      </c>
      <c r="AX181">
        <v>47921730</v>
      </c>
      <c r="AY181">
        <v>1</v>
      </c>
      <c r="AZ181">
        <v>0</v>
      </c>
      <c r="BA181">
        <v>186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Y181*Source!I197</f>
        <v>1.7594999999999996E-2</v>
      </c>
      <c r="CY181">
        <f>AB181</f>
        <v>656.89</v>
      </c>
      <c r="CZ181">
        <f>AF181</f>
        <v>85.09</v>
      </c>
      <c r="DA181">
        <f>AJ181</f>
        <v>7.72</v>
      </c>
      <c r="DB181">
        <f t="shared" si="32"/>
        <v>99.82</v>
      </c>
      <c r="DC181">
        <f t="shared" si="33"/>
        <v>16.420000000000002</v>
      </c>
    </row>
    <row r="182" spans="1:107">
      <c r="A182">
        <f>ROW(Source!A197)</f>
        <v>197</v>
      </c>
      <c r="B182">
        <v>47920234</v>
      </c>
      <c r="C182">
        <v>47921725</v>
      </c>
      <c r="D182">
        <v>13555251</v>
      </c>
      <c r="E182">
        <v>1</v>
      </c>
      <c r="F182">
        <v>1</v>
      </c>
      <c r="G182">
        <v>1</v>
      </c>
      <c r="H182">
        <v>2</v>
      </c>
      <c r="I182" t="s">
        <v>658</v>
      </c>
      <c r="J182" t="s">
        <v>659</v>
      </c>
      <c r="K182" t="s">
        <v>660</v>
      </c>
      <c r="L182">
        <v>1368</v>
      </c>
      <c r="N182">
        <v>1011</v>
      </c>
      <c r="O182" t="s">
        <v>468</v>
      </c>
      <c r="P182" t="s">
        <v>468</v>
      </c>
      <c r="Q182">
        <v>1</v>
      </c>
      <c r="W182">
        <v>0</v>
      </c>
      <c r="X182">
        <v>-1729990392</v>
      </c>
      <c r="Y182">
        <v>1.1729999999999998</v>
      </c>
      <c r="AA182">
        <v>0</v>
      </c>
      <c r="AB182">
        <v>404.45</v>
      </c>
      <c r="AC182">
        <v>0</v>
      </c>
      <c r="AD182">
        <v>0</v>
      </c>
      <c r="AE182">
        <v>0</v>
      </c>
      <c r="AF182">
        <v>52.39</v>
      </c>
      <c r="AG182">
        <v>0</v>
      </c>
      <c r="AH182">
        <v>0</v>
      </c>
      <c r="AI182">
        <v>1</v>
      </c>
      <c r="AJ182">
        <v>7.72</v>
      </c>
      <c r="AK182">
        <v>28.93</v>
      </c>
      <c r="AL182">
        <v>1</v>
      </c>
      <c r="AN182">
        <v>0</v>
      </c>
      <c r="AO182">
        <v>1</v>
      </c>
      <c r="AP182">
        <v>1</v>
      </c>
      <c r="AQ182">
        <v>0</v>
      </c>
      <c r="AR182">
        <v>0</v>
      </c>
      <c r="AS182" t="s">
        <v>3</v>
      </c>
      <c r="AT182">
        <v>0.85</v>
      </c>
      <c r="AU182" t="s">
        <v>20</v>
      </c>
      <c r="AV182">
        <v>0</v>
      </c>
      <c r="AW182">
        <v>2</v>
      </c>
      <c r="AX182">
        <v>47921731</v>
      </c>
      <c r="AY182">
        <v>1</v>
      </c>
      <c r="AZ182">
        <v>0</v>
      </c>
      <c r="BA182">
        <v>187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Y182*Source!I197</f>
        <v>1.7594999999999996E-2</v>
      </c>
      <c r="CY182">
        <f>AB182</f>
        <v>404.45</v>
      </c>
      <c r="CZ182">
        <f>AF182</f>
        <v>52.39</v>
      </c>
      <c r="DA182">
        <f>AJ182</f>
        <v>7.72</v>
      </c>
      <c r="DB182">
        <f t="shared" si="32"/>
        <v>61.45</v>
      </c>
      <c r="DC182">
        <f t="shared" si="33"/>
        <v>0</v>
      </c>
    </row>
    <row r="183" spans="1:107">
      <c r="A183">
        <f>ROW(Source!A198)</f>
        <v>198</v>
      </c>
      <c r="B183">
        <v>47920234</v>
      </c>
      <c r="C183">
        <v>47921732</v>
      </c>
      <c r="D183">
        <v>9915124</v>
      </c>
      <c r="E183">
        <v>1</v>
      </c>
      <c r="F183">
        <v>1</v>
      </c>
      <c r="G183">
        <v>1</v>
      </c>
      <c r="H183">
        <v>1</v>
      </c>
      <c r="I183" t="s">
        <v>661</v>
      </c>
      <c r="J183" t="s">
        <v>3</v>
      </c>
      <c r="K183" t="s">
        <v>662</v>
      </c>
      <c r="L183">
        <v>1191</v>
      </c>
      <c r="N183">
        <v>1013</v>
      </c>
      <c r="O183" t="s">
        <v>460</v>
      </c>
      <c r="P183" t="s">
        <v>460</v>
      </c>
      <c r="Q183">
        <v>1</v>
      </c>
      <c r="W183">
        <v>0</v>
      </c>
      <c r="X183">
        <v>-1192177210</v>
      </c>
      <c r="Y183">
        <v>51.004799999999989</v>
      </c>
      <c r="AA183">
        <v>0</v>
      </c>
      <c r="AB183">
        <v>0</v>
      </c>
      <c r="AC183">
        <v>0</v>
      </c>
      <c r="AD183">
        <v>229.7</v>
      </c>
      <c r="AE183">
        <v>0</v>
      </c>
      <c r="AF183">
        <v>0</v>
      </c>
      <c r="AG183">
        <v>0</v>
      </c>
      <c r="AH183">
        <v>7.94</v>
      </c>
      <c r="AI183">
        <v>1</v>
      </c>
      <c r="AJ183">
        <v>1</v>
      </c>
      <c r="AK183">
        <v>1</v>
      </c>
      <c r="AL183">
        <v>28.93</v>
      </c>
      <c r="AN183">
        <v>0</v>
      </c>
      <c r="AO183">
        <v>1</v>
      </c>
      <c r="AP183">
        <v>1</v>
      </c>
      <c r="AQ183">
        <v>0</v>
      </c>
      <c r="AR183">
        <v>0</v>
      </c>
      <c r="AS183" t="s">
        <v>3</v>
      </c>
      <c r="AT183">
        <v>36.96</v>
      </c>
      <c r="AU183" t="s">
        <v>20</v>
      </c>
      <c r="AV183">
        <v>1</v>
      </c>
      <c r="AW183">
        <v>2</v>
      </c>
      <c r="AX183">
        <v>47921745</v>
      </c>
      <c r="AY183">
        <v>1</v>
      </c>
      <c r="AZ183">
        <v>0</v>
      </c>
      <c r="BA183">
        <v>188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Y183*Source!I198</f>
        <v>1.7596655999999997</v>
      </c>
      <c r="CY183">
        <f>AD183</f>
        <v>229.7</v>
      </c>
      <c r="CZ183">
        <f>AH183</f>
        <v>7.94</v>
      </c>
      <c r="DA183">
        <f>AL183</f>
        <v>28.93</v>
      </c>
      <c r="DB183">
        <f t="shared" si="32"/>
        <v>404.97</v>
      </c>
      <c r="DC183">
        <f t="shared" si="33"/>
        <v>0</v>
      </c>
    </row>
    <row r="184" spans="1:107">
      <c r="A184">
        <f>ROW(Source!A198)</f>
        <v>198</v>
      </c>
      <c r="B184">
        <v>47920234</v>
      </c>
      <c r="C184">
        <v>47921732</v>
      </c>
      <c r="D184">
        <v>121548</v>
      </c>
      <c r="E184">
        <v>1</v>
      </c>
      <c r="F184">
        <v>1</v>
      </c>
      <c r="G184">
        <v>1</v>
      </c>
      <c r="H184">
        <v>1</v>
      </c>
      <c r="I184" t="s">
        <v>26</v>
      </c>
      <c r="J184" t="s">
        <v>3</v>
      </c>
      <c r="K184" t="s">
        <v>461</v>
      </c>
      <c r="L184">
        <v>608254</v>
      </c>
      <c r="N184">
        <v>1013</v>
      </c>
      <c r="O184" t="s">
        <v>462</v>
      </c>
      <c r="P184" t="s">
        <v>462</v>
      </c>
      <c r="Q184">
        <v>1</v>
      </c>
      <c r="W184">
        <v>0</v>
      </c>
      <c r="X184">
        <v>-185737400</v>
      </c>
      <c r="Y184">
        <v>50.011199999999995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1</v>
      </c>
      <c r="AJ184">
        <v>1</v>
      </c>
      <c r="AK184">
        <v>28.93</v>
      </c>
      <c r="AL184">
        <v>1</v>
      </c>
      <c r="AN184">
        <v>0</v>
      </c>
      <c r="AO184">
        <v>1</v>
      </c>
      <c r="AP184">
        <v>1</v>
      </c>
      <c r="AQ184">
        <v>0</v>
      </c>
      <c r="AR184">
        <v>0</v>
      </c>
      <c r="AS184" t="s">
        <v>3</v>
      </c>
      <c r="AT184">
        <v>36.24</v>
      </c>
      <c r="AU184" t="s">
        <v>20</v>
      </c>
      <c r="AV184">
        <v>2</v>
      </c>
      <c r="AW184">
        <v>2</v>
      </c>
      <c r="AX184">
        <v>47921746</v>
      </c>
      <c r="AY184">
        <v>1</v>
      </c>
      <c r="AZ184">
        <v>0</v>
      </c>
      <c r="BA184">
        <v>189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Y184*Source!I198</f>
        <v>1.7253863999999999</v>
      </c>
      <c r="CY184">
        <f>AD184</f>
        <v>0</v>
      </c>
      <c r="CZ184">
        <f>AH184</f>
        <v>0</v>
      </c>
      <c r="DA184">
        <f>AL184</f>
        <v>1</v>
      </c>
      <c r="DB184">
        <f t="shared" si="32"/>
        <v>0</v>
      </c>
      <c r="DC184">
        <f t="shared" si="33"/>
        <v>0</v>
      </c>
    </row>
    <row r="185" spans="1:107">
      <c r="A185">
        <f>ROW(Source!A198)</f>
        <v>198</v>
      </c>
      <c r="B185">
        <v>47920234</v>
      </c>
      <c r="C185">
        <v>47921732</v>
      </c>
      <c r="D185">
        <v>13554643</v>
      </c>
      <c r="E185">
        <v>1</v>
      </c>
      <c r="F185">
        <v>1</v>
      </c>
      <c r="G185">
        <v>1</v>
      </c>
      <c r="H185">
        <v>2</v>
      </c>
      <c r="I185" t="s">
        <v>663</v>
      </c>
      <c r="J185" t="s">
        <v>664</v>
      </c>
      <c r="K185" t="s">
        <v>665</v>
      </c>
      <c r="L185">
        <v>1368</v>
      </c>
      <c r="N185">
        <v>1011</v>
      </c>
      <c r="O185" t="s">
        <v>468</v>
      </c>
      <c r="P185" t="s">
        <v>468</v>
      </c>
      <c r="Q185">
        <v>1</v>
      </c>
      <c r="W185">
        <v>0</v>
      </c>
      <c r="X185">
        <v>-1910634522</v>
      </c>
      <c r="Y185">
        <v>5.4923999999999991</v>
      </c>
      <c r="AA185">
        <v>0</v>
      </c>
      <c r="AB185">
        <v>837</v>
      </c>
      <c r="AC185">
        <v>282.94</v>
      </c>
      <c r="AD185">
        <v>0</v>
      </c>
      <c r="AE185">
        <v>0</v>
      </c>
      <c r="AF185">
        <v>108.42</v>
      </c>
      <c r="AG185">
        <v>9.7799999999999994</v>
      </c>
      <c r="AH185">
        <v>0</v>
      </c>
      <c r="AI185">
        <v>1</v>
      </c>
      <c r="AJ185">
        <v>7.72</v>
      </c>
      <c r="AK185">
        <v>28.93</v>
      </c>
      <c r="AL185">
        <v>1</v>
      </c>
      <c r="AN185">
        <v>0</v>
      </c>
      <c r="AO185">
        <v>1</v>
      </c>
      <c r="AP185">
        <v>1</v>
      </c>
      <c r="AQ185">
        <v>0</v>
      </c>
      <c r="AR185">
        <v>0</v>
      </c>
      <c r="AS185" t="s">
        <v>3</v>
      </c>
      <c r="AT185">
        <v>3.98</v>
      </c>
      <c r="AU185" t="s">
        <v>20</v>
      </c>
      <c r="AV185">
        <v>0</v>
      </c>
      <c r="AW185">
        <v>2</v>
      </c>
      <c r="AX185">
        <v>47921747</v>
      </c>
      <c r="AY185">
        <v>1</v>
      </c>
      <c r="AZ185">
        <v>0</v>
      </c>
      <c r="BA185">
        <v>190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Y185*Source!I198</f>
        <v>0.18948779999999998</v>
      </c>
      <c r="CY185">
        <f t="shared" ref="CY185:CY191" si="34">AB185</f>
        <v>837</v>
      </c>
      <c r="CZ185">
        <f t="shared" ref="CZ185:CZ191" si="35">AF185</f>
        <v>108.42</v>
      </c>
      <c r="DA185">
        <f t="shared" ref="DA185:DA191" si="36">AJ185</f>
        <v>7.72</v>
      </c>
      <c r="DB185">
        <f t="shared" si="32"/>
        <v>595.48</v>
      </c>
      <c r="DC185">
        <f t="shared" si="33"/>
        <v>53.71</v>
      </c>
    </row>
    <row r="186" spans="1:107">
      <c r="A186">
        <f>ROW(Source!A198)</f>
        <v>198</v>
      </c>
      <c r="B186">
        <v>47920234</v>
      </c>
      <c r="C186">
        <v>47921732</v>
      </c>
      <c r="D186">
        <v>13554973</v>
      </c>
      <c r="E186">
        <v>1</v>
      </c>
      <c r="F186">
        <v>1</v>
      </c>
      <c r="G186">
        <v>1</v>
      </c>
      <c r="H186">
        <v>2</v>
      </c>
      <c r="I186" t="s">
        <v>649</v>
      </c>
      <c r="J186" t="s">
        <v>650</v>
      </c>
      <c r="K186" t="s">
        <v>651</v>
      </c>
      <c r="L186">
        <v>1368</v>
      </c>
      <c r="N186">
        <v>1011</v>
      </c>
      <c r="O186" t="s">
        <v>468</v>
      </c>
      <c r="P186" t="s">
        <v>468</v>
      </c>
      <c r="Q186">
        <v>1</v>
      </c>
      <c r="W186">
        <v>0</v>
      </c>
      <c r="X186">
        <v>-884784342</v>
      </c>
      <c r="Y186">
        <v>3.5741999999999994</v>
      </c>
      <c r="AA186">
        <v>0</v>
      </c>
      <c r="AB186">
        <v>650.55999999999995</v>
      </c>
      <c r="AC186">
        <v>379.56</v>
      </c>
      <c r="AD186">
        <v>0</v>
      </c>
      <c r="AE186">
        <v>0</v>
      </c>
      <c r="AF186">
        <v>84.27</v>
      </c>
      <c r="AG186">
        <v>13.12</v>
      </c>
      <c r="AH186">
        <v>0</v>
      </c>
      <c r="AI186">
        <v>1</v>
      </c>
      <c r="AJ186">
        <v>7.72</v>
      </c>
      <c r="AK186">
        <v>28.93</v>
      </c>
      <c r="AL186">
        <v>1</v>
      </c>
      <c r="AN186">
        <v>0</v>
      </c>
      <c r="AO186">
        <v>1</v>
      </c>
      <c r="AP186">
        <v>1</v>
      </c>
      <c r="AQ186">
        <v>0</v>
      </c>
      <c r="AR186">
        <v>0</v>
      </c>
      <c r="AS186" t="s">
        <v>3</v>
      </c>
      <c r="AT186">
        <v>2.59</v>
      </c>
      <c r="AU186" t="s">
        <v>20</v>
      </c>
      <c r="AV186">
        <v>0</v>
      </c>
      <c r="AW186">
        <v>2</v>
      </c>
      <c r="AX186">
        <v>47921748</v>
      </c>
      <c r="AY186">
        <v>1</v>
      </c>
      <c r="AZ186">
        <v>0</v>
      </c>
      <c r="BA186">
        <v>191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Y186*Source!I198</f>
        <v>0.12330989999999999</v>
      </c>
      <c r="CY186">
        <f t="shared" si="34"/>
        <v>650.55999999999995</v>
      </c>
      <c r="CZ186">
        <f t="shared" si="35"/>
        <v>84.27</v>
      </c>
      <c r="DA186">
        <f t="shared" si="36"/>
        <v>7.72</v>
      </c>
      <c r="DB186">
        <f t="shared" si="32"/>
        <v>301.2</v>
      </c>
      <c r="DC186">
        <f t="shared" si="33"/>
        <v>46.89</v>
      </c>
    </row>
    <row r="187" spans="1:107">
      <c r="A187">
        <f>ROW(Source!A198)</f>
        <v>198</v>
      </c>
      <c r="B187">
        <v>47920234</v>
      </c>
      <c r="C187">
        <v>47921732</v>
      </c>
      <c r="D187">
        <v>13555234</v>
      </c>
      <c r="E187">
        <v>1</v>
      </c>
      <c r="F187">
        <v>1</v>
      </c>
      <c r="G187">
        <v>1</v>
      </c>
      <c r="H187">
        <v>2</v>
      </c>
      <c r="I187" t="s">
        <v>630</v>
      </c>
      <c r="J187" t="s">
        <v>631</v>
      </c>
      <c r="K187" t="s">
        <v>632</v>
      </c>
      <c r="L187">
        <v>1368</v>
      </c>
      <c r="N187">
        <v>1011</v>
      </c>
      <c r="O187" t="s">
        <v>468</v>
      </c>
      <c r="P187" t="s">
        <v>468</v>
      </c>
      <c r="Q187">
        <v>1</v>
      </c>
      <c r="W187">
        <v>0</v>
      </c>
      <c r="X187">
        <v>-1121905244</v>
      </c>
      <c r="Y187">
        <v>0.56579999999999986</v>
      </c>
      <c r="AA187">
        <v>0</v>
      </c>
      <c r="AB187">
        <v>992.02</v>
      </c>
      <c r="AC187">
        <v>379.56</v>
      </c>
      <c r="AD187">
        <v>0</v>
      </c>
      <c r="AE187">
        <v>0</v>
      </c>
      <c r="AF187">
        <v>128.5</v>
      </c>
      <c r="AG187">
        <v>13.12</v>
      </c>
      <c r="AH187">
        <v>0</v>
      </c>
      <c r="AI187">
        <v>1</v>
      </c>
      <c r="AJ187">
        <v>7.72</v>
      </c>
      <c r="AK187">
        <v>28.93</v>
      </c>
      <c r="AL187">
        <v>1</v>
      </c>
      <c r="AN187">
        <v>0</v>
      </c>
      <c r="AO187">
        <v>1</v>
      </c>
      <c r="AP187">
        <v>1</v>
      </c>
      <c r="AQ187">
        <v>0</v>
      </c>
      <c r="AR187">
        <v>0</v>
      </c>
      <c r="AS187" t="s">
        <v>3</v>
      </c>
      <c r="AT187">
        <v>0.41</v>
      </c>
      <c r="AU187" t="s">
        <v>20</v>
      </c>
      <c r="AV187">
        <v>0</v>
      </c>
      <c r="AW187">
        <v>2</v>
      </c>
      <c r="AX187">
        <v>47921749</v>
      </c>
      <c r="AY187">
        <v>1</v>
      </c>
      <c r="AZ187">
        <v>0</v>
      </c>
      <c r="BA187">
        <v>192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Y187*Source!I198</f>
        <v>1.9520099999999995E-2</v>
      </c>
      <c r="CY187">
        <f t="shared" si="34"/>
        <v>992.02</v>
      </c>
      <c r="CZ187">
        <f t="shared" si="35"/>
        <v>128.5</v>
      </c>
      <c r="DA187">
        <f t="shared" si="36"/>
        <v>7.72</v>
      </c>
      <c r="DB187">
        <f t="shared" si="32"/>
        <v>72.709999999999994</v>
      </c>
      <c r="DC187">
        <f t="shared" si="33"/>
        <v>7.42</v>
      </c>
    </row>
    <row r="188" spans="1:107">
      <c r="A188">
        <f>ROW(Source!A198)</f>
        <v>198</v>
      </c>
      <c r="B188">
        <v>47920234</v>
      </c>
      <c r="C188">
        <v>47921732</v>
      </c>
      <c r="D188">
        <v>13555264</v>
      </c>
      <c r="E188">
        <v>1</v>
      </c>
      <c r="F188">
        <v>1</v>
      </c>
      <c r="G188">
        <v>1</v>
      </c>
      <c r="H188">
        <v>2</v>
      </c>
      <c r="I188" t="s">
        <v>666</v>
      </c>
      <c r="J188" t="s">
        <v>667</v>
      </c>
      <c r="K188" t="s">
        <v>668</v>
      </c>
      <c r="L188">
        <v>1368</v>
      </c>
      <c r="N188">
        <v>1011</v>
      </c>
      <c r="O188" t="s">
        <v>468</v>
      </c>
      <c r="P188" t="s">
        <v>468</v>
      </c>
      <c r="Q188">
        <v>1</v>
      </c>
      <c r="W188">
        <v>0</v>
      </c>
      <c r="X188">
        <v>-1878399779</v>
      </c>
      <c r="Y188">
        <v>10.860599999999998</v>
      </c>
      <c r="AA188">
        <v>0</v>
      </c>
      <c r="AB188">
        <v>646.09</v>
      </c>
      <c r="AC188">
        <v>326.33</v>
      </c>
      <c r="AD188">
        <v>0</v>
      </c>
      <c r="AE188">
        <v>0</v>
      </c>
      <c r="AF188">
        <v>83.69</v>
      </c>
      <c r="AG188">
        <v>11.28</v>
      </c>
      <c r="AH188">
        <v>0</v>
      </c>
      <c r="AI188">
        <v>1</v>
      </c>
      <c r="AJ188">
        <v>7.72</v>
      </c>
      <c r="AK188">
        <v>28.93</v>
      </c>
      <c r="AL188">
        <v>1</v>
      </c>
      <c r="AN188">
        <v>0</v>
      </c>
      <c r="AO188">
        <v>1</v>
      </c>
      <c r="AP188">
        <v>1</v>
      </c>
      <c r="AQ188">
        <v>0</v>
      </c>
      <c r="AR188">
        <v>0</v>
      </c>
      <c r="AS188" t="s">
        <v>3</v>
      </c>
      <c r="AT188">
        <v>7.87</v>
      </c>
      <c r="AU188" t="s">
        <v>20</v>
      </c>
      <c r="AV188">
        <v>0</v>
      </c>
      <c r="AW188">
        <v>2</v>
      </c>
      <c r="AX188">
        <v>47921750</v>
      </c>
      <c r="AY188">
        <v>1</v>
      </c>
      <c r="AZ188">
        <v>0</v>
      </c>
      <c r="BA188">
        <v>193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Y188*Source!I198</f>
        <v>0.37469069999999999</v>
      </c>
      <c r="CY188">
        <f t="shared" si="34"/>
        <v>646.09</v>
      </c>
      <c r="CZ188">
        <f t="shared" si="35"/>
        <v>83.69</v>
      </c>
      <c r="DA188">
        <f t="shared" si="36"/>
        <v>7.72</v>
      </c>
      <c r="DB188">
        <f t="shared" si="32"/>
        <v>908.92</v>
      </c>
      <c r="DC188">
        <f t="shared" si="33"/>
        <v>122.5</v>
      </c>
    </row>
    <row r="189" spans="1:107">
      <c r="A189">
        <f>ROW(Source!A198)</f>
        <v>198</v>
      </c>
      <c r="B189">
        <v>47920234</v>
      </c>
      <c r="C189">
        <v>47921732</v>
      </c>
      <c r="D189">
        <v>13555265</v>
      </c>
      <c r="E189">
        <v>1</v>
      </c>
      <c r="F189">
        <v>1</v>
      </c>
      <c r="G189">
        <v>1</v>
      </c>
      <c r="H189">
        <v>2</v>
      </c>
      <c r="I189" t="s">
        <v>669</v>
      </c>
      <c r="J189" t="s">
        <v>670</v>
      </c>
      <c r="K189" t="s">
        <v>671</v>
      </c>
      <c r="L189">
        <v>1368</v>
      </c>
      <c r="N189">
        <v>1011</v>
      </c>
      <c r="O189" t="s">
        <v>468</v>
      </c>
      <c r="P189" t="s">
        <v>468</v>
      </c>
      <c r="Q189">
        <v>1</v>
      </c>
      <c r="W189">
        <v>0</v>
      </c>
      <c r="X189">
        <v>-1949254540</v>
      </c>
      <c r="Y189">
        <v>24.5364</v>
      </c>
      <c r="AA189">
        <v>0</v>
      </c>
      <c r="AB189">
        <v>1083.81</v>
      </c>
      <c r="AC189">
        <v>405.02</v>
      </c>
      <c r="AD189">
        <v>0</v>
      </c>
      <c r="AE189">
        <v>0</v>
      </c>
      <c r="AF189">
        <v>140.38999999999999</v>
      </c>
      <c r="AG189">
        <v>14</v>
      </c>
      <c r="AH189">
        <v>0</v>
      </c>
      <c r="AI189">
        <v>1</v>
      </c>
      <c r="AJ189">
        <v>7.72</v>
      </c>
      <c r="AK189">
        <v>28.93</v>
      </c>
      <c r="AL189">
        <v>1</v>
      </c>
      <c r="AN189">
        <v>0</v>
      </c>
      <c r="AO189">
        <v>1</v>
      </c>
      <c r="AP189">
        <v>1</v>
      </c>
      <c r="AQ189">
        <v>0</v>
      </c>
      <c r="AR189">
        <v>0</v>
      </c>
      <c r="AS189" t="s">
        <v>3</v>
      </c>
      <c r="AT189">
        <v>17.78</v>
      </c>
      <c r="AU189" t="s">
        <v>20</v>
      </c>
      <c r="AV189">
        <v>0</v>
      </c>
      <c r="AW189">
        <v>2</v>
      </c>
      <c r="AX189">
        <v>47921751</v>
      </c>
      <c r="AY189">
        <v>1</v>
      </c>
      <c r="AZ189">
        <v>0</v>
      </c>
      <c r="BA189">
        <v>194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Y189*Source!I198</f>
        <v>0.84650580000000009</v>
      </c>
      <c r="CY189">
        <f t="shared" si="34"/>
        <v>1083.81</v>
      </c>
      <c r="CZ189">
        <f t="shared" si="35"/>
        <v>140.38999999999999</v>
      </c>
      <c r="DA189">
        <f t="shared" si="36"/>
        <v>7.72</v>
      </c>
      <c r="DB189">
        <f t="shared" si="32"/>
        <v>3444.66</v>
      </c>
      <c r="DC189">
        <f t="shared" si="33"/>
        <v>343.51</v>
      </c>
    </row>
    <row r="190" spans="1:107">
      <c r="A190">
        <f>ROW(Source!A198)</f>
        <v>198</v>
      </c>
      <c r="B190">
        <v>47920234</v>
      </c>
      <c r="C190">
        <v>47921732</v>
      </c>
      <c r="D190">
        <v>13555345</v>
      </c>
      <c r="E190">
        <v>1</v>
      </c>
      <c r="F190">
        <v>1</v>
      </c>
      <c r="G190">
        <v>1</v>
      </c>
      <c r="H190">
        <v>2</v>
      </c>
      <c r="I190" t="s">
        <v>596</v>
      </c>
      <c r="J190" t="s">
        <v>597</v>
      </c>
      <c r="K190" t="s">
        <v>598</v>
      </c>
      <c r="L190">
        <v>1368</v>
      </c>
      <c r="N190">
        <v>1011</v>
      </c>
      <c r="O190" t="s">
        <v>468</v>
      </c>
      <c r="P190" t="s">
        <v>468</v>
      </c>
      <c r="Q190">
        <v>1</v>
      </c>
      <c r="W190">
        <v>0</v>
      </c>
      <c r="X190">
        <v>-249495239</v>
      </c>
      <c r="Y190">
        <v>4.0847999999999995</v>
      </c>
      <c r="AA190">
        <v>0</v>
      </c>
      <c r="AB190">
        <v>1040.58</v>
      </c>
      <c r="AC190">
        <v>326.33</v>
      </c>
      <c r="AD190">
        <v>0</v>
      </c>
      <c r="AE190">
        <v>0</v>
      </c>
      <c r="AF190">
        <v>134.79</v>
      </c>
      <c r="AG190">
        <v>11.28</v>
      </c>
      <c r="AH190">
        <v>0</v>
      </c>
      <c r="AI190">
        <v>1</v>
      </c>
      <c r="AJ190">
        <v>7.72</v>
      </c>
      <c r="AK190">
        <v>28.93</v>
      </c>
      <c r="AL190">
        <v>1</v>
      </c>
      <c r="AN190">
        <v>0</v>
      </c>
      <c r="AO190">
        <v>1</v>
      </c>
      <c r="AP190">
        <v>1</v>
      </c>
      <c r="AQ190">
        <v>0</v>
      </c>
      <c r="AR190">
        <v>0</v>
      </c>
      <c r="AS190" t="s">
        <v>3</v>
      </c>
      <c r="AT190">
        <v>2.96</v>
      </c>
      <c r="AU190" t="s">
        <v>20</v>
      </c>
      <c r="AV190">
        <v>0</v>
      </c>
      <c r="AW190">
        <v>2</v>
      </c>
      <c r="AX190">
        <v>47921752</v>
      </c>
      <c r="AY190">
        <v>1</v>
      </c>
      <c r="AZ190">
        <v>0</v>
      </c>
      <c r="BA190">
        <v>195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Y190*Source!I198</f>
        <v>0.14092559999999998</v>
      </c>
      <c r="CY190">
        <f t="shared" si="34"/>
        <v>1040.58</v>
      </c>
      <c r="CZ190">
        <f t="shared" si="35"/>
        <v>134.79</v>
      </c>
      <c r="DA190">
        <f t="shared" si="36"/>
        <v>7.72</v>
      </c>
      <c r="DB190">
        <f t="shared" si="32"/>
        <v>550.59</v>
      </c>
      <c r="DC190">
        <f t="shared" si="33"/>
        <v>46.08</v>
      </c>
    </row>
    <row r="191" spans="1:107">
      <c r="A191">
        <f>ROW(Source!A198)</f>
        <v>198</v>
      </c>
      <c r="B191">
        <v>47920234</v>
      </c>
      <c r="C191">
        <v>47921732</v>
      </c>
      <c r="D191">
        <v>13555357</v>
      </c>
      <c r="E191">
        <v>1</v>
      </c>
      <c r="F191">
        <v>1</v>
      </c>
      <c r="G191">
        <v>1</v>
      </c>
      <c r="H191">
        <v>2</v>
      </c>
      <c r="I191" t="s">
        <v>672</v>
      </c>
      <c r="J191" t="s">
        <v>673</v>
      </c>
      <c r="K191" t="s">
        <v>674</v>
      </c>
      <c r="L191">
        <v>1368</v>
      </c>
      <c r="N191">
        <v>1011</v>
      </c>
      <c r="O191" t="s">
        <v>468</v>
      </c>
      <c r="P191" t="s">
        <v>468</v>
      </c>
      <c r="Q191">
        <v>1</v>
      </c>
      <c r="W191">
        <v>0</v>
      </c>
      <c r="X191">
        <v>-1890347062</v>
      </c>
      <c r="Y191">
        <v>0.89699999999999991</v>
      </c>
      <c r="AA191">
        <v>0</v>
      </c>
      <c r="AB191">
        <v>1049.46</v>
      </c>
      <c r="AC191">
        <v>379.56</v>
      </c>
      <c r="AD191">
        <v>0</v>
      </c>
      <c r="AE191">
        <v>0</v>
      </c>
      <c r="AF191">
        <v>135.94</v>
      </c>
      <c r="AG191">
        <v>13.12</v>
      </c>
      <c r="AH191">
        <v>0</v>
      </c>
      <c r="AI191">
        <v>1</v>
      </c>
      <c r="AJ191">
        <v>7.72</v>
      </c>
      <c r="AK191">
        <v>28.93</v>
      </c>
      <c r="AL191">
        <v>1</v>
      </c>
      <c r="AN191">
        <v>0</v>
      </c>
      <c r="AO191">
        <v>1</v>
      </c>
      <c r="AP191">
        <v>1</v>
      </c>
      <c r="AQ191">
        <v>0</v>
      </c>
      <c r="AR191">
        <v>0</v>
      </c>
      <c r="AS191" t="s">
        <v>3</v>
      </c>
      <c r="AT191">
        <v>0.65</v>
      </c>
      <c r="AU191" t="s">
        <v>20</v>
      </c>
      <c r="AV191">
        <v>0</v>
      </c>
      <c r="AW191">
        <v>2</v>
      </c>
      <c r="AX191">
        <v>47921753</v>
      </c>
      <c r="AY191">
        <v>1</v>
      </c>
      <c r="AZ191">
        <v>0</v>
      </c>
      <c r="BA191">
        <v>196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Y191*Source!I198</f>
        <v>3.0946499999999998E-2</v>
      </c>
      <c r="CY191">
        <f t="shared" si="34"/>
        <v>1049.46</v>
      </c>
      <c r="CZ191">
        <f t="shared" si="35"/>
        <v>135.94</v>
      </c>
      <c r="DA191">
        <f t="shared" si="36"/>
        <v>7.72</v>
      </c>
      <c r="DB191">
        <f t="shared" si="32"/>
        <v>121.94</v>
      </c>
      <c r="DC191">
        <f t="shared" si="33"/>
        <v>11.77</v>
      </c>
    </row>
    <row r="192" spans="1:107">
      <c r="A192">
        <f>ROW(Source!A198)</f>
        <v>198</v>
      </c>
      <c r="B192">
        <v>47920234</v>
      </c>
      <c r="C192">
        <v>47921732</v>
      </c>
      <c r="D192">
        <v>13636970</v>
      </c>
      <c r="E192">
        <v>1</v>
      </c>
      <c r="F192">
        <v>1</v>
      </c>
      <c r="G192">
        <v>1</v>
      </c>
      <c r="H192">
        <v>3</v>
      </c>
      <c r="I192" t="s">
        <v>304</v>
      </c>
      <c r="J192" t="s">
        <v>306</v>
      </c>
      <c r="K192" t="s">
        <v>305</v>
      </c>
      <c r="L192">
        <v>1339</v>
      </c>
      <c r="N192">
        <v>1007</v>
      </c>
      <c r="O192" t="s">
        <v>298</v>
      </c>
      <c r="P192" t="s">
        <v>298</v>
      </c>
      <c r="Q192">
        <v>1</v>
      </c>
      <c r="W192">
        <v>1</v>
      </c>
      <c r="X192">
        <v>-562267757</v>
      </c>
      <c r="Y192">
        <v>-15</v>
      </c>
      <c r="AA192">
        <v>1609.22</v>
      </c>
      <c r="AB192">
        <v>0</v>
      </c>
      <c r="AC192">
        <v>0</v>
      </c>
      <c r="AD192">
        <v>0</v>
      </c>
      <c r="AE192">
        <v>312.47000000000003</v>
      </c>
      <c r="AF192">
        <v>0</v>
      </c>
      <c r="AG192">
        <v>0</v>
      </c>
      <c r="AH192">
        <v>0</v>
      </c>
      <c r="AI192">
        <v>5.15</v>
      </c>
      <c r="AJ192">
        <v>1</v>
      </c>
      <c r="AK192">
        <v>1</v>
      </c>
      <c r="AL192">
        <v>1</v>
      </c>
      <c r="AN192">
        <v>0</v>
      </c>
      <c r="AO192">
        <v>1</v>
      </c>
      <c r="AP192">
        <v>0</v>
      </c>
      <c r="AQ192">
        <v>0</v>
      </c>
      <c r="AR192">
        <v>0</v>
      </c>
      <c r="AS192" t="s">
        <v>3</v>
      </c>
      <c r="AT192">
        <v>-15</v>
      </c>
      <c r="AU192" t="s">
        <v>3</v>
      </c>
      <c r="AV192">
        <v>0</v>
      </c>
      <c r="AW192">
        <v>2</v>
      </c>
      <c r="AX192">
        <v>47921754</v>
      </c>
      <c r="AY192">
        <v>1</v>
      </c>
      <c r="AZ192">
        <v>6144</v>
      </c>
      <c r="BA192">
        <v>197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Y192*Source!I198</f>
        <v>-0.51750000000000007</v>
      </c>
      <c r="CY192">
        <f>AA192</f>
        <v>1609.22</v>
      </c>
      <c r="CZ192">
        <f>AE192</f>
        <v>312.47000000000003</v>
      </c>
      <c r="DA192">
        <f>AI192</f>
        <v>5.15</v>
      </c>
      <c r="DB192">
        <f>ROUND(ROUND(AT192*CZ192,2),2)</f>
        <v>-4687.05</v>
      </c>
      <c r="DC192">
        <f>ROUND(ROUND(AT192*AG192,2),2)</f>
        <v>0</v>
      </c>
    </row>
    <row r="193" spans="1:107">
      <c r="A193">
        <f>ROW(Source!A198)</f>
        <v>198</v>
      </c>
      <c r="B193">
        <v>47920234</v>
      </c>
      <c r="C193">
        <v>47921732</v>
      </c>
      <c r="D193">
        <v>13636972</v>
      </c>
      <c r="E193">
        <v>1</v>
      </c>
      <c r="F193">
        <v>1</v>
      </c>
      <c r="G193">
        <v>1</v>
      </c>
      <c r="H193">
        <v>3</v>
      </c>
      <c r="I193" t="s">
        <v>296</v>
      </c>
      <c r="J193" t="s">
        <v>299</v>
      </c>
      <c r="K193" t="s">
        <v>297</v>
      </c>
      <c r="L193">
        <v>1339</v>
      </c>
      <c r="N193">
        <v>1007</v>
      </c>
      <c r="O193" t="s">
        <v>298</v>
      </c>
      <c r="P193" t="s">
        <v>298</v>
      </c>
      <c r="Q193">
        <v>1</v>
      </c>
      <c r="W193">
        <v>1</v>
      </c>
      <c r="X193">
        <v>-565367017</v>
      </c>
      <c r="Y193">
        <v>-189</v>
      </c>
      <c r="AA193">
        <v>1027.94</v>
      </c>
      <c r="AB193">
        <v>0</v>
      </c>
      <c r="AC193">
        <v>0</v>
      </c>
      <c r="AD193">
        <v>0</v>
      </c>
      <c r="AE193">
        <v>199.6</v>
      </c>
      <c r="AF193">
        <v>0</v>
      </c>
      <c r="AG193">
        <v>0</v>
      </c>
      <c r="AH193">
        <v>0</v>
      </c>
      <c r="AI193">
        <v>5.15</v>
      </c>
      <c r="AJ193">
        <v>1</v>
      </c>
      <c r="AK193">
        <v>1</v>
      </c>
      <c r="AL193">
        <v>1</v>
      </c>
      <c r="AN193">
        <v>0</v>
      </c>
      <c r="AO193">
        <v>1</v>
      </c>
      <c r="AP193">
        <v>0</v>
      </c>
      <c r="AQ193">
        <v>0</v>
      </c>
      <c r="AR193">
        <v>0</v>
      </c>
      <c r="AS193" t="s">
        <v>3</v>
      </c>
      <c r="AT193">
        <v>-189</v>
      </c>
      <c r="AU193" t="s">
        <v>3</v>
      </c>
      <c r="AV193">
        <v>0</v>
      </c>
      <c r="AW193">
        <v>2</v>
      </c>
      <c r="AX193">
        <v>47921755</v>
      </c>
      <c r="AY193">
        <v>1</v>
      </c>
      <c r="AZ193">
        <v>6144</v>
      </c>
      <c r="BA193">
        <v>198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Y193*Source!I198</f>
        <v>-6.5205000000000002</v>
      </c>
      <c r="CY193">
        <f>AA193</f>
        <v>1027.94</v>
      </c>
      <c r="CZ193">
        <f>AE193</f>
        <v>199.6</v>
      </c>
      <c r="DA193">
        <f>AI193</f>
        <v>5.15</v>
      </c>
      <c r="DB193">
        <f>ROUND(ROUND(AT193*CZ193,2),2)</f>
        <v>-37724.400000000001</v>
      </c>
      <c r="DC193">
        <f>ROUND(ROUND(AT193*AG193,2),2)</f>
        <v>0</v>
      </c>
    </row>
    <row r="194" spans="1:107">
      <c r="A194">
        <f>ROW(Source!A198)</f>
        <v>198</v>
      </c>
      <c r="B194">
        <v>47920234</v>
      </c>
      <c r="C194">
        <v>47921732</v>
      </c>
      <c r="D194">
        <v>13637754</v>
      </c>
      <c r="E194">
        <v>1</v>
      </c>
      <c r="F194">
        <v>1</v>
      </c>
      <c r="G194">
        <v>1</v>
      </c>
      <c r="H194">
        <v>3</v>
      </c>
      <c r="I194" t="s">
        <v>496</v>
      </c>
      <c r="J194" t="s">
        <v>497</v>
      </c>
      <c r="K194" t="s">
        <v>498</v>
      </c>
      <c r="L194">
        <v>1339</v>
      </c>
      <c r="N194">
        <v>1007</v>
      </c>
      <c r="O194" t="s">
        <v>298</v>
      </c>
      <c r="P194" t="s">
        <v>298</v>
      </c>
      <c r="Q194">
        <v>1</v>
      </c>
      <c r="W194">
        <v>0</v>
      </c>
      <c r="X194">
        <v>-129011492</v>
      </c>
      <c r="Y194">
        <v>30</v>
      </c>
      <c r="AA194">
        <v>32.450000000000003</v>
      </c>
      <c r="AB194">
        <v>0</v>
      </c>
      <c r="AC194">
        <v>0</v>
      </c>
      <c r="AD194">
        <v>0</v>
      </c>
      <c r="AE194">
        <v>6.3</v>
      </c>
      <c r="AF194">
        <v>0</v>
      </c>
      <c r="AG194">
        <v>0</v>
      </c>
      <c r="AH194">
        <v>0</v>
      </c>
      <c r="AI194">
        <v>5.15</v>
      </c>
      <c r="AJ194">
        <v>1</v>
      </c>
      <c r="AK194">
        <v>1</v>
      </c>
      <c r="AL194">
        <v>1</v>
      </c>
      <c r="AN194">
        <v>0</v>
      </c>
      <c r="AO194">
        <v>1</v>
      </c>
      <c r="AP194">
        <v>0</v>
      </c>
      <c r="AQ194">
        <v>0</v>
      </c>
      <c r="AR194">
        <v>0</v>
      </c>
      <c r="AS194" t="s">
        <v>3</v>
      </c>
      <c r="AT194">
        <v>30</v>
      </c>
      <c r="AU194" t="s">
        <v>3</v>
      </c>
      <c r="AV194">
        <v>0</v>
      </c>
      <c r="AW194">
        <v>2</v>
      </c>
      <c r="AX194">
        <v>47921756</v>
      </c>
      <c r="AY194">
        <v>1</v>
      </c>
      <c r="AZ194">
        <v>0</v>
      </c>
      <c r="BA194">
        <v>199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Y194*Source!I198</f>
        <v>1.0350000000000001</v>
      </c>
      <c r="CY194">
        <f>AA194</f>
        <v>32.450000000000003</v>
      </c>
      <c r="CZ194">
        <f>AE194</f>
        <v>6.3</v>
      </c>
      <c r="DA194">
        <f>AI194</f>
        <v>5.15</v>
      </c>
      <c r="DB194">
        <f>ROUND(ROUND(AT194*CZ194,2),2)</f>
        <v>189</v>
      </c>
      <c r="DC194">
        <f>ROUND(ROUND(AT194*AG194,2),2)</f>
        <v>0</v>
      </c>
    </row>
    <row r="195" spans="1:107">
      <c r="A195">
        <f>ROW(Source!A201)</f>
        <v>201</v>
      </c>
      <c r="B195">
        <v>47920234</v>
      </c>
      <c r="C195">
        <v>47921759</v>
      </c>
      <c r="D195">
        <v>121548</v>
      </c>
      <c r="E195">
        <v>1</v>
      </c>
      <c r="F195">
        <v>1</v>
      </c>
      <c r="G195">
        <v>1</v>
      </c>
      <c r="H195">
        <v>1</v>
      </c>
      <c r="I195" t="s">
        <v>26</v>
      </c>
      <c r="J195" t="s">
        <v>3</v>
      </c>
      <c r="K195" t="s">
        <v>461</v>
      </c>
      <c r="L195">
        <v>608254</v>
      </c>
      <c r="N195">
        <v>1013</v>
      </c>
      <c r="O195" t="s">
        <v>462</v>
      </c>
      <c r="P195" t="s">
        <v>462</v>
      </c>
      <c r="Q195">
        <v>1</v>
      </c>
      <c r="W195">
        <v>0</v>
      </c>
      <c r="X195">
        <v>-185737400</v>
      </c>
      <c r="Y195">
        <v>17.318999999999996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1</v>
      </c>
      <c r="AJ195">
        <v>1</v>
      </c>
      <c r="AK195">
        <v>28.93</v>
      </c>
      <c r="AL195">
        <v>1</v>
      </c>
      <c r="AN195">
        <v>0</v>
      </c>
      <c r="AO195">
        <v>1</v>
      </c>
      <c r="AP195">
        <v>1</v>
      </c>
      <c r="AQ195">
        <v>0</v>
      </c>
      <c r="AR195">
        <v>0</v>
      </c>
      <c r="AS195" t="s">
        <v>3</v>
      </c>
      <c r="AT195">
        <v>2.5099999999999998</v>
      </c>
      <c r="AU195" t="s">
        <v>312</v>
      </c>
      <c r="AV195">
        <v>2</v>
      </c>
      <c r="AW195">
        <v>2</v>
      </c>
      <c r="AX195">
        <v>47921765</v>
      </c>
      <c r="AY195">
        <v>1</v>
      </c>
      <c r="AZ195">
        <v>0</v>
      </c>
      <c r="BA195">
        <v>200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>Y195*Source!I201</f>
        <v>0.59750549999999991</v>
      </c>
      <c r="CY195">
        <f>AD195</f>
        <v>0</v>
      </c>
      <c r="CZ195">
        <f>AH195</f>
        <v>0</v>
      </c>
      <c r="DA195">
        <f>AL195</f>
        <v>1</v>
      </c>
      <c r="DB195">
        <f>ROUND((ROUND(AT195*CZ195,2)*ROUND((1.2*1.15*5),7)),2)</f>
        <v>0</v>
      </c>
      <c r="DC195">
        <f>ROUND((ROUND(AT195*AG195,2)*ROUND((1.2*1.15*5),7)),2)</f>
        <v>0</v>
      </c>
    </row>
    <row r="196" spans="1:107">
      <c r="A196">
        <f>ROW(Source!A201)</f>
        <v>201</v>
      </c>
      <c r="B196">
        <v>47920234</v>
      </c>
      <c r="C196">
        <v>47921759</v>
      </c>
      <c r="D196">
        <v>13554643</v>
      </c>
      <c r="E196">
        <v>1</v>
      </c>
      <c r="F196">
        <v>1</v>
      </c>
      <c r="G196">
        <v>1</v>
      </c>
      <c r="H196">
        <v>2</v>
      </c>
      <c r="I196" t="s">
        <v>663</v>
      </c>
      <c r="J196" t="s">
        <v>664</v>
      </c>
      <c r="K196" t="s">
        <v>665</v>
      </c>
      <c r="L196">
        <v>1368</v>
      </c>
      <c r="N196">
        <v>1011</v>
      </c>
      <c r="O196" t="s">
        <v>468</v>
      </c>
      <c r="P196" t="s">
        <v>468</v>
      </c>
      <c r="Q196">
        <v>1</v>
      </c>
      <c r="W196">
        <v>0</v>
      </c>
      <c r="X196">
        <v>-1910634522</v>
      </c>
      <c r="Y196">
        <v>5.7269999999999985</v>
      </c>
      <c r="AA196">
        <v>0</v>
      </c>
      <c r="AB196">
        <v>837</v>
      </c>
      <c r="AC196">
        <v>282.94</v>
      </c>
      <c r="AD196">
        <v>0</v>
      </c>
      <c r="AE196">
        <v>0</v>
      </c>
      <c r="AF196">
        <v>108.42</v>
      </c>
      <c r="AG196">
        <v>9.7799999999999994</v>
      </c>
      <c r="AH196">
        <v>0</v>
      </c>
      <c r="AI196">
        <v>1</v>
      </c>
      <c r="AJ196">
        <v>7.72</v>
      </c>
      <c r="AK196">
        <v>28.93</v>
      </c>
      <c r="AL196">
        <v>1</v>
      </c>
      <c r="AN196">
        <v>0</v>
      </c>
      <c r="AO196">
        <v>1</v>
      </c>
      <c r="AP196">
        <v>1</v>
      </c>
      <c r="AQ196">
        <v>0</v>
      </c>
      <c r="AR196">
        <v>0</v>
      </c>
      <c r="AS196" t="s">
        <v>3</v>
      </c>
      <c r="AT196">
        <v>0.83</v>
      </c>
      <c r="AU196" t="s">
        <v>312</v>
      </c>
      <c r="AV196">
        <v>0</v>
      </c>
      <c r="AW196">
        <v>2</v>
      </c>
      <c r="AX196">
        <v>47921766</v>
      </c>
      <c r="AY196">
        <v>1</v>
      </c>
      <c r="AZ196">
        <v>0</v>
      </c>
      <c r="BA196">
        <v>201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>Y196*Source!I201</f>
        <v>0.19758149999999997</v>
      </c>
      <c r="CY196">
        <f>AB196</f>
        <v>837</v>
      </c>
      <c r="CZ196">
        <f>AF196</f>
        <v>108.42</v>
      </c>
      <c r="DA196">
        <f>AJ196</f>
        <v>7.72</v>
      </c>
      <c r="DB196">
        <f>ROUND((ROUND(AT196*CZ196,2)*ROUND((1.2*1.15*5),7)),2)</f>
        <v>620.92999999999995</v>
      </c>
      <c r="DC196">
        <f>ROUND((ROUND(AT196*AG196,2)*ROUND((1.2*1.15*5),7)),2)</f>
        <v>56.03</v>
      </c>
    </row>
    <row r="197" spans="1:107">
      <c r="A197">
        <f>ROW(Source!A201)</f>
        <v>201</v>
      </c>
      <c r="B197">
        <v>47920234</v>
      </c>
      <c r="C197">
        <v>47921759</v>
      </c>
      <c r="D197">
        <v>13555264</v>
      </c>
      <c r="E197">
        <v>1</v>
      </c>
      <c r="F197">
        <v>1</v>
      </c>
      <c r="G197">
        <v>1</v>
      </c>
      <c r="H197">
        <v>2</v>
      </c>
      <c r="I197" t="s">
        <v>666</v>
      </c>
      <c r="J197" t="s">
        <v>667</v>
      </c>
      <c r="K197" t="s">
        <v>668</v>
      </c>
      <c r="L197">
        <v>1368</v>
      </c>
      <c r="N197">
        <v>1011</v>
      </c>
      <c r="O197" t="s">
        <v>468</v>
      </c>
      <c r="P197" t="s">
        <v>468</v>
      </c>
      <c r="Q197">
        <v>1</v>
      </c>
      <c r="W197">
        <v>0</v>
      </c>
      <c r="X197">
        <v>-1878399779</v>
      </c>
      <c r="Y197">
        <v>5.9339999999999993</v>
      </c>
      <c r="AA197">
        <v>0</v>
      </c>
      <c r="AB197">
        <v>646.09</v>
      </c>
      <c r="AC197">
        <v>326.33</v>
      </c>
      <c r="AD197">
        <v>0</v>
      </c>
      <c r="AE197">
        <v>0</v>
      </c>
      <c r="AF197">
        <v>83.69</v>
      </c>
      <c r="AG197">
        <v>11.28</v>
      </c>
      <c r="AH197">
        <v>0</v>
      </c>
      <c r="AI197">
        <v>1</v>
      </c>
      <c r="AJ197">
        <v>7.72</v>
      </c>
      <c r="AK197">
        <v>28.93</v>
      </c>
      <c r="AL197">
        <v>1</v>
      </c>
      <c r="AN197">
        <v>0</v>
      </c>
      <c r="AO197">
        <v>1</v>
      </c>
      <c r="AP197">
        <v>1</v>
      </c>
      <c r="AQ197">
        <v>0</v>
      </c>
      <c r="AR197">
        <v>0</v>
      </c>
      <c r="AS197" t="s">
        <v>3</v>
      </c>
      <c r="AT197">
        <v>0.86</v>
      </c>
      <c r="AU197" t="s">
        <v>312</v>
      </c>
      <c r="AV197">
        <v>0</v>
      </c>
      <c r="AW197">
        <v>2</v>
      </c>
      <c r="AX197">
        <v>47921767</v>
      </c>
      <c r="AY197">
        <v>1</v>
      </c>
      <c r="AZ197">
        <v>0</v>
      </c>
      <c r="BA197">
        <v>202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>Y197*Source!I201</f>
        <v>0.20472299999999999</v>
      </c>
      <c r="CY197">
        <f>AB197</f>
        <v>646.09</v>
      </c>
      <c r="CZ197">
        <f>AF197</f>
        <v>83.69</v>
      </c>
      <c r="DA197">
        <f>AJ197</f>
        <v>7.72</v>
      </c>
      <c r="DB197">
        <f>ROUND((ROUND(AT197*CZ197,2)*ROUND((1.2*1.15*5),7)),2)</f>
        <v>496.59</v>
      </c>
      <c r="DC197">
        <f>ROUND((ROUND(AT197*AG197,2)*ROUND((1.2*1.15*5),7)),2)</f>
        <v>66.930000000000007</v>
      </c>
    </row>
    <row r="198" spans="1:107">
      <c r="A198">
        <f>ROW(Source!A201)</f>
        <v>201</v>
      </c>
      <c r="B198">
        <v>47920234</v>
      </c>
      <c r="C198">
        <v>47921759</v>
      </c>
      <c r="D198">
        <v>13555265</v>
      </c>
      <c r="E198">
        <v>1</v>
      </c>
      <c r="F198">
        <v>1</v>
      </c>
      <c r="G198">
        <v>1</v>
      </c>
      <c r="H198">
        <v>2</v>
      </c>
      <c r="I198" t="s">
        <v>669</v>
      </c>
      <c r="J198" t="s">
        <v>670</v>
      </c>
      <c r="K198" t="s">
        <v>671</v>
      </c>
      <c r="L198">
        <v>1368</v>
      </c>
      <c r="N198">
        <v>1011</v>
      </c>
      <c r="O198" t="s">
        <v>468</v>
      </c>
      <c r="P198" t="s">
        <v>468</v>
      </c>
      <c r="Q198">
        <v>1</v>
      </c>
      <c r="W198">
        <v>0</v>
      </c>
      <c r="X198">
        <v>-1949254540</v>
      </c>
      <c r="Y198">
        <v>5.6579999999999986</v>
      </c>
      <c r="AA198">
        <v>0</v>
      </c>
      <c r="AB198">
        <v>1083.81</v>
      </c>
      <c r="AC198">
        <v>405.02</v>
      </c>
      <c r="AD198">
        <v>0</v>
      </c>
      <c r="AE198">
        <v>0</v>
      </c>
      <c r="AF198">
        <v>140.38999999999999</v>
      </c>
      <c r="AG198">
        <v>14</v>
      </c>
      <c r="AH198">
        <v>0</v>
      </c>
      <c r="AI198">
        <v>1</v>
      </c>
      <c r="AJ198">
        <v>7.72</v>
      </c>
      <c r="AK198">
        <v>28.93</v>
      </c>
      <c r="AL198">
        <v>1</v>
      </c>
      <c r="AN198">
        <v>0</v>
      </c>
      <c r="AO198">
        <v>1</v>
      </c>
      <c r="AP198">
        <v>1</v>
      </c>
      <c r="AQ198">
        <v>0</v>
      </c>
      <c r="AR198">
        <v>0</v>
      </c>
      <c r="AS198" t="s">
        <v>3</v>
      </c>
      <c r="AT198">
        <v>0.82</v>
      </c>
      <c r="AU198" t="s">
        <v>312</v>
      </c>
      <c r="AV198">
        <v>0</v>
      </c>
      <c r="AW198">
        <v>2</v>
      </c>
      <c r="AX198">
        <v>47921768</v>
      </c>
      <c r="AY198">
        <v>1</v>
      </c>
      <c r="AZ198">
        <v>0</v>
      </c>
      <c r="BA198">
        <v>203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>Y198*Source!I201</f>
        <v>0.19520099999999996</v>
      </c>
      <c r="CY198">
        <f>AB198</f>
        <v>1083.81</v>
      </c>
      <c r="CZ198">
        <f>AF198</f>
        <v>140.38999999999999</v>
      </c>
      <c r="DA198">
        <f>AJ198</f>
        <v>7.72</v>
      </c>
      <c r="DB198">
        <f>ROUND((ROUND(AT198*CZ198,2)*ROUND((1.2*1.15*5),7)),2)</f>
        <v>794.33</v>
      </c>
      <c r="DC198">
        <f>ROUND((ROUND(AT198*AG198,2)*ROUND((1.2*1.15*5),7)),2)</f>
        <v>79.209999999999994</v>
      </c>
    </row>
    <row r="199" spans="1:107">
      <c r="A199">
        <f>ROW(Source!A201)</f>
        <v>201</v>
      </c>
      <c r="B199">
        <v>47920234</v>
      </c>
      <c r="C199">
        <v>47921759</v>
      </c>
      <c r="D199">
        <v>13636972</v>
      </c>
      <c r="E199">
        <v>1</v>
      </c>
      <c r="F199">
        <v>1</v>
      </c>
      <c r="G199">
        <v>1</v>
      </c>
      <c r="H199">
        <v>3</v>
      </c>
      <c r="I199" t="s">
        <v>296</v>
      </c>
      <c r="J199" t="s">
        <v>299</v>
      </c>
      <c r="K199" t="s">
        <v>297</v>
      </c>
      <c r="L199">
        <v>1339</v>
      </c>
      <c r="N199">
        <v>1007</v>
      </c>
      <c r="O199" t="s">
        <v>298</v>
      </c>
      <c r="P199" t="s">
        <v>298</v>
      </c>
      <c r="Q199">
        <v>1</v>
      </c>
      <c r="W199">
        <v>1</v>
      </c>
      <c r="X199">
        <v>-565367017</v>
      </c>
      <c r="Y199">
        <v>-63</v>
      </c>
      <c r="AA199">
        <v>1027.94</v>
      </c>
      <c r="AB199">
        <v>0</v>
      </c>
      <c r="AC199">
        <v>0</v>
      </c>
      <c r="AD199">
        <v>0</v>
      </c>
      <c r="AE199">
        <v>199.6</v>
      </c>
      <c r="AF199">
        <v>0</v>
      </c>
      <c r="AG199">
        <v>0</v>
      </c>
      <c r="AH199">
        <v>0</v>
      </c>
      <c r="AI199">
        <v>5.15</v>
      </c>
      <c r="AJ199">
        <v>1</v>
      </c>
      <c r="AK199">
        <v>1</v>
      </c>
      <c r="AL199">
        <v>1</v>
      </c>
      <c r="AN199">
        <v>0</v>
      </c>
      <c r="AO199">
        <v>1</v>
      </c>
      <c r="AP199">
        <v>1</v>
      </c>
      <c r="AQ199">
        <v>0</v>
      </c>
      <c r="AR199">
        <v>0</v>
      </c>
      <c r="AS199" t="s">
        <v>3</v>
      </c>
      <c r="AT199">
        <v>-12.6</v>
      </c>
      <c r="AU199" t="s">
        <v>311</v>
      </c>
      <c r="AV199">
        <v>0</v>
      </c>
      <c r="AW199">
        <v>2</v>
      </c>
      <c r="AX199">
        <v>47921769</v>
      </c>
      <c r="AY199">
        <v>1</v>
      </c>
      <c r="AZ199">
        <v>6144</v>
      </c>
      <c r="BA199">
        <v>204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>Y199*Source!I201</f>
        <v>-2.1735000000000002</v>
      </c>
      <c r="CY199">
        <f>AA199</f>
        <v>1027.94</v>
      </c>
      <c r="CZ199">
        <f>AE199</f>
        <v>199.6</v>
      </c>
      <c r="DA199">
        <f>AI199</f>
        <v>5.15</v>
      </c>
      <c r="DB199">
        <f>ROUND((ROUND(AT199*CZ199,2)*ROUND(5,7)),2)</f>
        <v>-12574.8</v>
      </c>
      <c r="DC199">
        <f>ROUND((ROUND(AT199*AG199,2)*ROUND(5,7)),2)</f>
        <v>0</v>
      </c>
    </row>
    <row r="200" spans="1:107">
      <c r="A200">
        <f>ROW(Source!A204)</f>
        <v>204</v>
      </c>
      <c r="B200">
        <v>47920234</v>
      </c>
      <c r="C200">
        <v>47921772</v>
      </c>
      <c r="D200">
        <v>121548</v>
      </c>
      <c r="E200">
        <v>1</v>
      </c>
      <c r="F200">
        <v>1</v>
      </c>
      <c r="G200">
        <v>1</v>
      </c>
      <c r="H200">
        <v>1</v>
      </c>
      <c r="I200" t="s">
        <v>26</v>
      </c>
      <c r="J200" t="s">
        <v>3</v>
      </c>
      <c r="K200" t="s">
        <v>461</v>
      </c>
      <c r="L200">
        <v>608254</v>
      </c>
      <c r="N200">
        <v>1013</v>
      </c>
      <c r="O200" t="s">
        <v>462</v>
      </c>
      <c r="P200" t="s">
        <v>462</v>
      </c>
      <c r="Q200">
        <v>1</v>
      </c>
      <c r="W200">
        <v>0</v>
      </c>
      <c r="X200">
        <v>-185737400</v>
      </c>
      <c r="Y200">
        <v>0.91079999999999994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1</v>
      </c>
      <c r="AJ200">
        <v>1</v>
      </c>
      <c r="AK200">
        <v>28.93</v>
      </c>
      <c r="AL200">
        <v>1</v>
      </c>
      <c r="AN200">
        <v>0</v>
      </c>
      <c r="AO200">
        <v>1</v>
      </c>
      <c r="AP200">
        <v>1</v>
      </c>
      <c r="AQ200">
        <v>0</v>
      </c>
      <c r="AR200">
        <v>0</v>
      </c>
      <c r="AS200" t="s">
        <v>3</v>
      </c>
      <c r="AT200">
        <v>0.66</v>
      </c>
      <c r="AU200" t="s">
        <v>20</v>
      </c>
      <c r="AV200">
        <v>2</v>
      </c>
      <c r="AW200">
        <v>2</v>
      </c>
      <c r="AX200">
        <v>47921776</v>
      </c>
      <c r="AY200">
        <v>1</v>
      </c>
      <c r="AZ200">
        <v>0</v>
      </c>
      <c r="BA200">
        <v>205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>Y200*Source!I204</f>
        <v>1.5711300000000001E-2</v>
      </c>
      <c r="CY200">
        <f>AD200</f>
        <v>0</v>
      </c>
      <c r="CZ200">
        <f>AH200</f>
        <v>0</v>
      </c>
      <c r="DA200">
        <f>AL200</f>
        <v>1</v>
      </c>
      <c r="DB200">
        <f>ROUND((ROUND(AT200*CZ200,2)*ROUND((1.2*1.15),7)),2)</f>
        <v>0</v>
      </c>
      <c r="DC200">
        <f>ROUND((ROUND(AT200*AG200,2)*ROUND((1.2*1.15),7)),2)</f>
        <v>0</v>
      </c>
    </row>
    <row r="201" spans="1:107">
      <c r="A201">
        <f>ROW(Source!A204)</f>
        <v>204</v>
      </c>
      <c r="B201">
        <v>47920234</v>
      </c>
      <c r="C201">
        <v>47921772</v>
      </c>
      <c r="D201">
        <v>13555224</v>
      </c>
      <c r="E201">
        <v>1</v>
      </c>
      <c r="F201">
        <v>1</v>
      </c>
      <c r="G201">
        <v>1</v>
      </c>
      <c r="H201">
        <v>2</v>
      </c>
      <c r="I201" t="s">
        <v>675</v>
      </c>
      <c r="J201" t="s">
        <v>676</v>
      </c>
      <c r="K201" t="s">
        <v>677</v>
      </c>
      <c r="L201">
        <v>1368</v>
      </c>
      <c r="N201">
        <v>1011</v>
      </c>
      <c r="O201" t="s">
        <v>468</v>
      </c>
      <c r="P201" t="s">
        <v>468</v>
      </c>
      <c r="Q201">
        <v>1</v>
      </c>
      <c r="W201">
        <v>0</v>
      </c>
      <c r="X201">
        <v>841752771</v>
      </c>
      <c r="Y201">
        <v>0.45539999999999997</v>
      </c>
      <c r="AA201">
        <v>0</v>
      </c>
      <c r="AB201">
        <v>1136</v>
      </c>
      <c r="AC201">
        <v>609.27</v>
      </c>
      <c r="AD201">
        <v>0</v>
      </c>
      <c r="AE201">
        <v>0</v>
      </c>
      <c r="AF201">
        <v>147.15</v>
      </c>
      <c r="AG201">
        <v>21.06</v>
      </c>
      <c r="AH201">
        <v>0</v>
      </c>
      <c r="AI201">
        <v>1</v>
      </c>
      <c r="AJ201">
        <v>7.72</v>
      </c>
      <c r="AK201">
        <v>28.93</v>
      </c>
      <c r="AL201">
        <v>1</v>
      </c>
      <c r="AN201">
        <v>0</v>
      </c>
      <c r="AO201">
        <v>1</v>
      </c>
      <c r="AP201">
        <v>1</v>
      </c>
      <c r="AQ201">
        <v>0</v>
      </c>
      <c r="AR201">
        <v>0</v>
      </c>
      <c r="AS201" t="s">
        <v>3</v>
      </c>
      <c r="AT201">
        <v>0.33</v>
      </c>
      <c r="AU201" t="s">
        <v>20</v>
      </c>
      <c r="AV201">
        <v>0</v>
      </c>
      <c r="AW201">
        <v>2</v>
      </c>
      <c r="AX201">
        <v>47921777</v>
      </c>
      <c r="AY201">
        <v>1</v>
      </c>
      <c r="AZ201">
        <v>0</v>
      </c>
      <c r="BA201">
        <v>206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>Y201*Source!I204</f>
        <v>7.8556500000000005E-3</v>
      </c>
      <c r="CY201">
        <f>AB201</f>
        <v>1136</v>
      </c>
      <c r="CZ201">
        <f>AF201</f>
        <v>147.15</v>
      </c>
      <c r="DA201">
        <f>AJ201</f>
        <v>7.72</v>
      </c>
      <c r="DB201">
        <f>ROUND((ROUND(AT201*CZ201,2)*ROUND((1.2*1.15),7)),2)</f>
        <v>67.010000000000005</v>
      </c>
      <c r="DC201">
        <f>ROUND((ROUND(AT201*AG201,2)*ROUND((1.2*1.15),7)),2)</f>
        <v>9.59</v>
      </c>
    </row>
    <row r="202" spans="1:107">
      <c r="A202">
        <f>ROW(Source!A204)</f>
        <v>204</v>
      </c>
      <c r="B202">
        <v>47920234</v>
      </c>
      <c r="C202">
        <v>47921772</v>
      </c>
      <c r="D202">
        <v>13559968</v>
      </c>
      <c r="E202">
        <v>1</v>
      </c>
      <c r="F202">
        <v>1</v>
      </c>
      <c r="G202">
        <v>1</v>
      </c>
      <c r="H202">
        <v>3</v>
      </c>
      <c r="I202" t="s">
        <v>678</v>
      </c>
      <c r="J202" t="s">
        <v>679</v>
      </c>
      <c r="K202" t="s">
        <v>680</v>
      </c>
      <c r="L202">
        <v>1348</v>
      </c>
      <c r="N202">
        <v>1009</v>
      </c>
      <c r="O202" t="s">
        <v>337</v>
      </c>
      <c r="P202" t="s">
        <v>337</v>
      </c>
      <c r="Q202">
        <v>1000</v>
      </c>
      <c r="W202">
        <v>0</v>
      </c>
      <c r="X202">
        <v>-718039020</v>
      </c>
      <c r="Y202">
        <v>1.03</v>
      </c>
      <c r="AA202">
        <v>12334.56</v>
      </c>
      <c r="AB202">
        <v>0</v>
      </c>
      <c r="AC202">
        <v>0</v>
      </c>
      <c r="AD202">
        <v>0</v>
      </c>
      <c r="AE202">
        <v>2395.06</v>
      </c>
      <c r="AF202">
        <v>0</v>
      </c>
      <c r="AG202">
        <v>0</v>
      </c>
      <c r="AH202">
        <v>0</v>
      </c>
      <c r="AI202">
        <v>5.15</v>
      </c>
      <c r="AJ202">
        <v>1</v>
      </c>
      <c r="AK202">
        <v>1</v>
      </c>
      <c r="AL202">
        <v>1</v>
      </c>
      <c r="AN202">
        <v>0</v>
      </c>
      <c r="AO202">
        <v>1</v>
      </c>
      <c r="AP202">
        <v>0</v>
      </c>
      <c r="AQ202">
        <v>0</v>
      </c>
      <c r="AR202">
        <v>0</v>
      </c>
      <c r="AS202" t="s">
        <v>3</v>
      </c>
      <c r="AT202">
        <v>1.03</v>
      </c>
      <c r="AU202" t="s">
        <v>3</v>
      </c>
      <c r="AV202">
        <v>0</v>
      </c>
      <c r="AW202">
        <v>2</v>
      </c>
      <c r="AX202">
        <v>47921778</v>
      </c>
      <c r="AY202">
        <v>1</v>
      </c>
      <c r="AZ202">
        <v>0</v>
      </c>
      <c r="BA202">
        <v>207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>Y202*Source!I204</f>
        <v>1.7767500000000002E-2</v>
      </c>
      <c r="CY202">
        <f>AA202</f>
        <v>12334.56</v>
      </c>
      <c r="CZ202">
        <f>AE202</f>
        <v>2395.06</v>
      </c>
      <c r="DA202">
        <f>AI202</f>
        <v>5.15</v>
      </c>
      <c r="DB202">
        <f>ROUND(ROUND(AT202*CZ202,2),2)</f>
        <v>2466.91</v>
      </c>
      <c r="DC202">
        <f>ROUND(ROUND(AT202*AG202,2),2)</f>
        <v>0</v>
      </c>
    </row>
    <row r="203" spans="1:107">
      <c r="A203">
        <f>ROW(Source!A206)</f>
        <v>206</v>
      </c>
      <c r="B203">
        <v>47920234</v>
      </c>
      <c r="C203">
        <v>47921780</v>
      </c>
      <c r="D203">
        <v>9915078</v>
      </c>
      <c r="E203">
        <v>1</v>
      </c>
      <c r="F203">
        <v>1</v>
      </c>
      <c r="G203">
        <v>1</v>
      </c>
      <c r="H203">
        <v>1</v>
      </c>
      <c r="I203" t="s">
        <v>681</v>
      </c>
      <c r="J203" t="s">
        <v>3</v>
      </c>
      <c r="K203" t="s">
        <v>682</v>
      </c>
      <c r="L203">
        <v>1191</v>
      </c>
      <c r="N203">
        <v>1013</v>
      </c>
      <c r="O203" t="s">
        <v>460</v>
      </c>
      <c r="P203" t="s">
        <v>460</v>
      </c>
      <c r="Q203">
        <v>1</v>
      </c>
      <c r="W203">
        <v>0</v>
      </c>
      <c r="X203">
        <v>-1998741301</v>
      </c>
      <c r="Y203">
        <v>30.042599999999997</v>
      </c>
      <c r="AA203">
        <v>0</v>
      </c>
      <c r="AB203">
        <v>0</v>
      </c>
      <c r="AC203">
        <v>0</v>
      </c>
      <c r="AD203">
        <v>274.55</v>
      </c>
      <c r="AE203">
        <v>0</v>
      </c>
      <c r="AF203">
        <v>0</v>
      </c>
      <c r="AG203">
        <v>0</v>
      </c>
      <c r="AH203">
        <v>9.49</v>
      </c>
      <c r="AI203">
        <v>1</v>
      </c>
      <c r="AJ203">
        <v>1</v>
      </c>
      <c r="AK203">
        <v>1</v>
      </c>
      <c r="AL203">
        <v>28.93</v>
      </c>
      <c r="AN203">
        <v>0</v>
      </c>
      <c r="AO203">
        <v>1</v>
      </c>
      <c r="AP203">
        <v>1</v>
      </c>
      <c r="AQ203">
        <v>0</v>
      </c>
      <c r="AR203">
        <v>0</v>
      </c>
      <c r="AS203" t="s">
        <v>3</v>
      </c>
      <c r="AT203">
        <v>21.77</v>
      </c>
      <c r="AU203" t="s">
        <v>20</v>
      </c>
      <c r="AV203">
        <v>1</v>
      </c>
      <c r="AW203">
        <v>2</v>
      </c>
      <c r="AX203">
        <v>47921790</v>
      </c>
      <c r="AY203">
        <v>1</v>
      </c>
      <c r="AZ203">
        <v>0</v>
      </c>
      <c r="BA203">
        <v>208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>Y203*Source!I206</f>
        <v>2.5911742499999995</v>
      </c>
      <c r="CY203">
        <f>AD203</f>
        <v>274.55</v>
      </c>
      <c r="CZ203">
        <f>AH203</f>
        <v>9.49</v>
      </c>
      <c r="DA203">
        <f>AL203</f>
        <v>28.93</v>
      </c>
      <c r="DB203">
        <f t="shared" ref="DB203:DB208" si="37">ROUND((ROUND(AT203*CZ203,2)*ROUND((1.2*1.15),7)),2)</f>
        <v>285.11</v>
      </c>
      <c r="DC203">
        <f t="shared" ref="DC203:DC208" si="38">ROUND((ROUND(AT203*AG203,2)*ROUND((1.2*1.15),7)),2)</f>
        <v>0</v>
      </c>
    </row>
    <row r="204" spans="1:107">
      <c r="A204">
        <f>ROW(Source!A206)</f>
        <v>206</v>
      </c>
      <c r="B204">
        <v>47920234</v>
      </c>
      <c r="C204">
        <v>47921780</v>
      </c>
      <c r="D204">
        <v>121548</v>
      </c>
      <c r="E204">
        <v>1</v>
      </c>
      <c r="F204">
        <v>1</v>
      </c>
      <c r="G204">
        <v>1</v>
      </c>
      <c r="H204">
        <v>1</v>
      </c>
      <c r="I204" t="s">
        <v>26</v>
      </c>
      <c r="J204" t="s">
        <v>3</v>
      </c>
      <c r="K204" t="s">
        <v>461</v>
      </c>
      <c r="L204">
        <v>608254</v>
      </c>
      <c r="N204">
        <v>1013</v>
      </c>
      <c r="O204" t="s">
        <v>462</v>
      </c>
      <c r="P204" t="s">
        <v>462</v>
      </c>
      <c r="Q204">
        <v>1</v>
      </c>
      <c r="W204">
        <v>0</v>
      </c>
      <c r="X204">
        <v>-185737400</v>
      </c>
      <c r="Y204">
        <v>29.669999999999998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1</v>
      </c>
      <c r="AJ204">
        <v>1</v>
      </c>
      <c r="AK204">
        <v>28.93</v>
      </c>
      <c r="AL204">
        <v>1</v>
      </c>
      <c r="AN204">
        <v>0</v>
      </c>
      <c r="AO204">
        <v>1</v>
      </c>
      <c r="AP204">
        <v>1</v>
      </c>
      <c r="AQ204">
        <v>0</v>
      </c>
      <c r="AR204">
        <v>0</v>
      </c>
      <c r="AS204" t="s">
        <v>3</v>
      </c>
      <c r="AT204">
        <v>21.5</v>
      </c>
      <c r="AU204" t="s">
        <v>20</v>
      </c>
      <c r="AV204">
        <v>2</v>
      </c>
      <c r="AW204">
        <v>2</v>
      </c>
      <c r="AX204">
        <v>47921791</v>
      </c>
      <c r="AY204">
        <v>1</v>
      </c>
      <c r="AZ204">
        <v>0</v>
      </c>
      <c r="BA204">
        <v>209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>Y204*Source!I206</f>
        <v>2.5590374999999996</v>
      </c>
      <c r="CY204">
        <f>AD204</f>
        <v>0</v>
      </c>
      <c r="CZ204">
        <f>AH204</f>
        <v>0</v>
      </c>
      <c r="DA204">
        <f>AL204</f>
        <v>1</v>
      </c>
      <c r="DB204">
        <f t="shared" si="37"/>
        <v>0</v>
      </c>
      <c r="DC204">
        <f t="shared" si="38"/>
        <v>0</v>
      </c>
    </row>
    <row r="205" spans="1:107">
      <c r="A205">
        <f>ROW(Source!A206)</f>
        <v>206</v>
      </c>
      <c r="B205">
        <v>47920234</v>
      </c>
      <c r="C205">
        <v>47921780</v>
      </c>
      <c r="D205">
        <v>13555264</v>
      </c>
      <c r="E205">
        <v>1</v>
      </c>
      <c r="F205">
        <v>1</v>
      </c>
      <c r="G205">
        <v>1</v>
      </c>
      <c r="H205">
        <v>2</v>
      </c>
      <c r="I205" t="s">
        <v>666</v>
      </c>
      <c r="J205" t="s">
        <v>667</v>
      </c>
      <c r="K205" t="s">
        <v>668</v>
      </c>
      <c r="L205">
        <v>1368</v>
      </c>
      <c r="N205">
        <v>1011</v>
      </c>
      <c r="O205" t="s">
        <v>468</v>
      </c>
      <c r="P205" t="s">
        <v>468</v>
      </c>
      <c r="Q205">
        <v>1</v>
      </c>
      <c r="W205">
        <v>0</v>
      </c>
      <c r="X205">
        <v>-1878399779</v>
      </c>
      <c r="Y205">
        <v>5.7683999999999989</v>
      </c>
      <c r="AA205">
        <v>0</v>
      </c>
      <c r="AB205">
        <v>646.09</v>
      </c>
      <c r="AC205">
        <v>326.33</v>
      </c>
      <c r="AD205">
        <v>0</v>
      </c>
      <c r="AE205">
        <v>0</v>
      </c>
      <c r="AF205">
        <v>83.69</v>
      </c>
      <c r="AG205">
        <v>11.28</v>
      </c>
      <c r="AH205">
        <v>0</v>
      </c>
      <c r="AI205">
        <v>1</v>
      </c>
      <c r="AJ205">
        <v>7.72</v>
      </c>
      <c r="AK205">
        <v>28.93</v>
      </c>
      <c r="AL205">
        <v>1</v>
      </c>
      <c r="AN205">
        <v>0</v>
      </c>
      <c r="AO205">
        <v>1</v>
      </c>
      <c r="AP205">
        <v>1</v>
      </c>
      <c r="AQ205">
        <v>0</v>
      </c>
      <c r="AR205">
        <v>0</v>
      </c>
      <c r="AS205" t="s">
        <v>3</v>
      </c>
      <c r="AT205">
        <v>4.18</v>
      </c>
      <c r="AU205" t="s">
        <v>20</v>
      </c>
      <c r="AV205">
        <v>0</v>
      </c>
      <c r="AW205">
        <v>2</v>
      </c>
      <c r="AX205">
        <v>47921792</v>
      </c>
      <c r="AY205">
        <v>1</v>
      </c>
      <c r="AZ205">
        <v>0</v>
      </c>
      <c r="BA205">
        <v>210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X205">
        <f>Y205*Source!I206</f>
        <v>0.49752449999999987</v>
      </c>
      <c r="CY205">
        <f>AB205</f>
        <v>646.09</v>
      </c>
      <c r="CZ205">
        <f>AF205</f>
        <v>83.69</v>
      </c>
      <c r="DA205">
        <f>AJ205</f>
        <v>7.72</v>
      </c>
      <c r="DB205">
        <f t="shared" si="37"/>
        <v>482.75</v>
      </c>
      <c r="DC205">
        <f t="shared" si="38"/>
        <v>65.069999999999993</v>
      </c>
    </row>
    <row r="206" spans="1:107">
      <c r="A206">
        <f>ROW(Source!A206)</f>
        <v>206</v>
      </c>
      <c r="B206">
        <v>47920234</v>
      </c>
      <c r="C206">
        <v>47921780</v>
      </c>
      <c r="D206">
        <v>13555265</v>
      </c>
      <c r="E206">
        <v>1</v>
      </c>
      <c r="F206">
        <v>1</v>
      </c>
      <c r="G206">
        <v>1</v>
      </c>
      <c r="H206">
        <v>2</v>
      </c>
      <c r="I206" t="s">
        <v>669</v>
      </c>
      <c r="J206" t="s">
        <v>670</v>
      </c>
      <c r="K206" t="s">
        <v>671</v>
      </c>
      <c r="L206">
        <v>1368</v>
      </c>
      <c r="N206">
        <v>1011</v>
      </c>
      <c r="O206" t="s">
        <v>468</v>
      </c>
      <c r="P206" t="s">
        <v>468</v>
      </c>
      <c r="Q206">
        <v>1</v>
      </c>
      <c r="W206">
        <v>0</v>
      </c>
      <c r="X206">
        <v>-1949254540</v>
      </c>
      <c r="Y206">
        <v>18.726599999999998</v>
      </c>
      <c r="AA206">
        <v>0</v>
      </c>
      <c r="AB206">
        <v>1083.81</v>
      </c>
      <c r="AC206">
        <v>405.02</v>
      </c>
      <c r="AD206">
        <v>0</v>
      </c>
      <c r="AE206">
        <v>0</v>
      </c>
      <c r="AF206">
        <v>140.38999999999999</v>
      </c>
      <c r="AG206">
        <v>14</v>
      </c>
      <c r="AH206">
        <v>0</v>
      </c>
      <c r="AI206">
        <v>1</v>
      </c>
      <c r="AJ206">
        <v>7.72</v>
      </c>
      <c r="AK206">
        <v>28.93</v>
      </c>
      <c r="AL206">
        <v>1</v>
      </c>
      <c r="AN206">
        <v>0</v>
      </c>
      <c r="AO206">
        <v>1</v>
      </c>
      <c r="AP206">
        <v>1</v>
      </c>
      <c r="AQ206">
        <v>0</v>
      </c>
      <c r="AR206">
        <v>0</v>
      </c>
      <c r="AS206" t="s">
        <v>3</v>
      </c>
      <c r="AT206">
        <v>13.57</v>
      </c>
      <c r="AU206" t="s">
        <v>20</v>
      </c>
      <c r="AV206">
        <v>0</v>
      </c>
      <c r="AW206">
        <v>2</v>
      </c>
      <c r="AX206">
        <v>47921793</v>
      </c>
      <c r="AY206">
        <v>1</v>
      </c>
      <c r="AZ206">
        <v>0</v>
      </c>
      <c r="BA206">
        <v>211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X206">
        <f>Y206*Source!I206</f>
        <v>1.6151692499999997</v>
      </c>
      <c r="CY206">
        <f>AB206</f>
        <v>1083.81</v>
      </c>
      <c r="CZ206">
        <f>AF206</f>
        <v>140.38999999999999</v>
      </c>
      <c r="DA206">
        <f>AJ206</f>
        <v>7.72</v>
      </c>
      <c r="DB206">
        <f t="shared" si="37"/>
        <v>2629.02</v>
      </c>
      <c r="DC206">
        <f t="shared" si="38"/>
        <v>262.17</v>
      </c>
    </row>
    <row r="207" spans="1:107">
      <c r="A207">
        <f>ROW(Source!A206)</f>
        <v>206</v>
      </c>
      <c r="B207">
        <v>47920234</v>
      </c>
      <c r="C207">
        <v>47921780</v>
      </c>
      <c r="D207">
        <v>13555345</v>
      </c>
      <c r="E207">
        <v>1</v>
      </c>
      <c r="F207">
        <v>1</v>
      </c>
      <c r="G207">
        <v>1</v>
      </c>
      <c r="H207">
        <v>2</v>
      </c>
      <c r="I207" t="s">
        <v>596</v>
      </c>
      <c r="J207" t="s">
        <v>597</v>
      </c>
      <c r="K207" t="s">
        <v>598</v>
      </c>
      <c r="L207">
        <v>1368</v>
      </c>
      <c r="N207">
        <v>1011</v>
      </c>
      <c r="O207" t="s">
        <v>468</v>
      </c>
      <c r="P207" t="s">
        <v>468</v>
      </c>
      <c r="Q207">
        <v>1</v>
      </c>
      <c r="W207">
        <v>0</v>
      </c>
      <c r="X207">
        <v>-249495239</v>
      </c>
      <c r="Y207">
        <v>0.49679999999999996</v>
      </c>
      <c r="AA207">
        <v>0</v>
      </c>
      <c r="AB207">
        <v>1040.58</v>
      </c>
      <c r="AC207">
        <v>326.33</v>
      </c>
      <c r="AD207">
        <v>0</v>
      </c>
      <c r="AE207">
        <v>0</v>
      </c>
      <c r="AF207">
        <v>134.79</v>
      </c>
      <c r="AG207">
        <v>11.28</v>
      </c>
      <c r="AH207">
        <v>0</v>
      </c>
      <c r="AI207">
        <v>1</v>
      </c>
      <c r="AJ207">
        <v>7.72</v>
      </c>
      <c r="AK207">
        <v>28.93</v>
      </c>
      <c r="AL207">
        <v>1</v>
      </c>
      <c r="AN207">
        <v>0</v>
      </c>
      <c r="AO207">
        <v>1</v>
      </c>
      <c r="AP207">
        <v>1</v>
      </c>
      <c r="AQ207">
        <v>0</v>
      </c>
      <c r="AR207">
        <v>0</v>
      </c>
      <c r="AS207" t="s">
        <v>3</v>
      </c>
      <c r="AT207">
        <v>0.36</v>
      </c>
      <c r="AU207" t="s">
        <v>20</v>
      </c>
      <c r="AV207">
        <v>0</v>
      </c>
      <c r="AW207">
        <v>2</v>
      </c>
      <c r="AX207">
        <v>47921794</v>
      </c>
      <c r="AY207">
        <v>1</v>
      </c>
      <c r="AZ207">
        <v>0</v>
      </c>
      <c r="BA207">
        <v>212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X207">
        <f>Y207*Source!I206</f>
        <v>4.2848999999999991E-2</v>
      </c>
      <c r="CY207">
        <f>AB207</f>
        <v>1040.58</v>
      </c>
      <c r="CZ207">
        <f>AF207</f>
        <v>134.79</v>
      </c>
      <c r="DA207">
        <f>AJ207</f>
        <v>7.72</v>
      </c>
      <c r="DB207">
        <f t="shared" si="37"/>
        <v>66.959999999999994</v>
      </c>
      <c r="DC207">
        <f t="shared" si="38"/>
        <v>5.6</v>
      </c>
    </row>
    <row r="208" spans="1:107">
      <c r="A208">
        <f>ROW(Source!A206)</f>
        <v>206</v>
      </c>
      <c r="B208">
        <v>47920234</v>
      </c>
      <c r="C208">
        <v>47921780</v>
      </c>
      <c r="D208">
        <v>13555373</v>
      </c>
      <c r="E208">
        <v>1</v>
      </c>
      <c r="F208">
        <v>1</v>
      </c>
      <c r="G208">
        <v>1</v>
      </c>
      <c r="H208">
        <v>2</v>
      </c>
      <c r="I208" t="s">
        <v>683</v>
      </c>
      <c r="J208" t="s">
        <v>684</v>
      </c>
      <c r="K208" t="s">
        <v>685</v>
      </c>
      <c r="L208">
        <v>1368</v>
      </c>
      <c r="N208">
        <v>1011</v>
      </c>
      <c r="O208" t="s">
        <v>468</v>
      </c>
      <c r="P208" t="s">
        <v>468</v>
      </c>
      <c r="Q208">
        <v>1</v>
      </c>
      <c r="W208">
        <v>0</v>
      </c>
      <c r="X208">
        <v>945238714</v>
      </c>
      <c r="Y208">
        <v>4.6781999999999995</v>
      </c>
      <c r="AA208">
        <v>0</v>
      </c>
      <c r="AB208">
        <v>1839.44</v>
      </c>
      <c r="AC208">
        <v>405.02</v>
      </c>
      <c r="AD208">
        <v>0</v>
      </c>
      <c r="AE208">
        <v>0</v>
      </c>
      <c r="AF208">
        <v>238.27</v>
      </c>
      <c r="AG208">
        <v>14</v>
      </c>
      <c r="AH208">
        <v>0</v>
      </c>
      <c r="AI208">
        <v>1</v>
      </c>
      <c r="AJ208">
        <v>7.72</v>
      </c>
      <c r="AK208">
        <v>28.93</v>
      </c>
      <c r="AL208">
        <v>1</v>
      </c>
      <c r="AN208">
        <v>0</v>
      </c>
      <c r="AO208">
        <v>1</v>
      </c>
      <c r="AP208">
        <v>1</v>
      </c>
      <c r="AQ208">
        <v>0</v>
      </c>
      <c r="AR208">
        <v>0</v>
      </c>
      <c r="AS208" t="s">
        <v>3</v>
      </c>
      <c r="AT208">
        <v>3.39</v>
      </c>
      <c r="AU208" t="s">
        <v>20</v>
      </c>
      <c r="AV208">
        <v>0</v>
      </c>
      <c r="AW208">
        <v>2</v>
      </c>
      <c r="AX208">
        <v>47921795</v>
      </c>
      <c r="AY208">
        <v>1</v>
      </c>
      <c r="AZ208">
        <v>0</v>
      </c>
      <c r="BA208">
        <v>213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X208">
        <f>Y208*Source!I206</f>
        <v>0.4034947499999999</v>
      </c>
      <c r="CY208">
        <f>AB208</f>
        <v>1839.44</v>
      </c>
      <c r="CZ208">
        <f>AF208</f>
        <v>238.27</v>
      </c>
      <c r="DA208">
        <f>AJ208</f>
        <v>7.72</v>
      </c>
      <c r="DB208">
        <f t="shared" si="37"/>
        <v>1114.68</v>
      </c>
      <c r="DC208">
        <f t="shared" si="38"/>
        <v>65.489999999999995</v>
      </c>
    </row>
    <row r="209" spans="1:107">
      <c r="A209">
        <f>ROW(Source!A206)</f>
        <v>206</v>
      </c>
      <c r="B209">
        <v>47920234</v>
      </c>
      <c r="C209">
        <v>47921780</v>
      </c>
      <c r="D209">
        <v>13558245</v>
      </c>
      <c r="E209">
        <v>1</v>
      </c>
      <c r="F209">
        <v>1</v>
      </c>
      <c r="G209">
        <v>1</v>
      </c>
      <c r="H209">
        <v>3</v>
      </c>
      <c r="I209" t="s">
        <v>686</v>
      </c>
      <c r="J209" t="s">
        <v>687</v>
      </c>
      <c r="K209" t="s">
        <v>688</v>
      </c>
      <c r="L209">
        <v>1348</v>
      </c>
      <c r="N209">
        <v>1009</v>
      </c>
      <c r="O209" t="s">
        <v>337</v>
      </c>
      <c r="P209" t="s">
        <v>337</v>
      </c>
      <c r="Q209">
        <v>1000</v>
      </c>
      <c r="W209">
        <v>0</v>
      </c>
      <c r="X209">
        <v>1050839526</v>
      </c>
      <c r="Y209">
        <v>5.0000000000000001E-3</v>
      </c>
      <c r="AA209">
        <v>14504.25</v>
      </c>
      <c r="AB209">
        <v>0</v>
      </c>
      <c r="AC209">
        <v>0</v>
      </c>
      <c r="AD209">
        <v>0</v>
      </c>
      <c r="AE209">
        <v>2816.36</v>
      </c>
      <c r="AF209">
        <v>0</v>
      </c>
      <c r="AG209">
        <v>0</v>
      </c>
      <c r="AH209">
        <v>0</v>
      </c>
      <c r="AI209">
        <v>5.15</v>
      </c>
      <c r="AJ209">
        <v>1</v>
      </c>
      <c r="AK209">
        <v>1</v>
      </c>
      <c r="AL209">
        <v>1</v>
      </c>
      <c r="AN209">
        <v>0</v>
      </c>
      <c r="AO209">
        <v>1</v>
      </c>
      <c r="AP209">
        <v>0</v>
      </c>
      <c r="AQ209">
        <v>0</v>
      </c>
      <c r="AR209">
        <v>0</v>
      </c>
      <c r="AS209" t="s">
        <v>3</v>
      </c>
      <c r="AT209">
        <v>5.0000000000000001E-3</v>
      </c>
      <c r="AU209" t="s">
        <v>3</v>
      </c>
      <c r="AV209">
        <v>0</v>
      </c>
      <c r="AW209">
        <v>2</v>
      </c>
      <c r="AX209">
        <v>47921796</v>
      </c>
      <c r="AY209">
        <v>1</v>
      </c>
      <c r="AZ209">
        <v>0</v>
      </c>
      <c r="BA209">
        <v>214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X209">
        <f>Y209*Source!I206</f>
        <v>4.3124999999999999E-4</v>
      </c>
      <c r="CY209">
        <f>AA209</f>
        <v>14504.25</v>
      </c>
      <c r="CZ209">
        <f>AE209</f>
        <v>2816.36</v>
      </c>
      <c r="DA209">
        <f>AI209</f>
        <v>5.15</v>
      </c>
      <c r="DB209">
        <f>ROUND(ROUND(AT209*CZ209,2),2)</f>
        <v>14.08</v>
      </c>
      <c r="DC209">
        <f>ROUND(ROUND(AT209*AG209,2),2)</f>
        <v>0</v>
      </c>
    </row>
    <row r="210" spans="1:107">
      <c r="A210">
        <f>ROW(Source!A206)</f>
        <v>206</v>
      </c>
      <c r="B210">
        <v>47920234</v>
      </c>
      <c r="C210">
        <v>47921780</v>
      </c>
      <c r="D210">
        <v>13559968</v>
      </c>
      <c r="E210">
        <v>1</v>
      </c>
      <c r="F210">
        <v>1</v>
      </c>
      <c r="G210">
        <v>1</v>
      </c>
      <c r="H210">
        <v>3</v>
      </c>
      <c r="I210" t="s">
        <v>678</v>
      </c>
      <c r="J210" t="s">
        <v>679</v>
      </c>
      <c r="K210" t="s">
        <v>680</v>
      </c>
      <c r="L210">
        <v>1348</v>
      </c>
      <c r="N210">
        <v>1009</v>
      </c>
      <c r="O210" t="s">
        <v>337</v>
      </c>
      <c r="P210" t="s">
        <v>337</v>
      </c>
      <c r="Q210">
        <v>1000</v>
      </c>
      <c r="W210">
        <v>0</v>
      </c>
      <c r="X210">
        <v>-718039020</v>
      </c>
      <c r="Y210">
        <v>7.3999999999999996E-2</v>
      </c>
      <c r="AA210">
        <v>12334.56</v>
      </c>
      <c r="AB210">
        <v>0</v>
      </c>
      <c r="AC210">
        <v>0</v>
      </c>
      <c r="AD210">
        <v>0</v>
      </c>
      <c r="AE210">
        <v>2395.06</v>
      </c>
      <c r="AF210">
        <v>0</v>
      </c>
      <c r="AG210">
        <v>0</v>
      </c>
      <c r="AH210">
        <v>0</v>
      </c>
      <c r="AI210">
        <v>5.15</v>
      </c>
      <c r="AJ210">
        <v>1</v>
      </c>
      <c r="AK210">
        <v>1</v>
      </c>
      <c r="AL210">
        <v>1</v>
      </c>
      <c r="AN210">
        <v>0</v>
      </c>
      <c r="AO210">
        <v>1</v>
      </c>
      <c r="AP210">
        <v>0</v>
      </c>
      <c r="AQ210">
        <v>0</v>
      </c>
      <c r="AR210">
        <v>0</v>
      </c>
      <c r="AS210" t="s">
        <v>3</v>
      </c>
      <c r="AT210">
        <v>7.3999999999999996E-2</v>
      </c>
      <c r="AU210" t="s">
        <v>3</v>
      </c>
      <c r="AV210">
        <v>0</v>
      </c>
      <c r="AW210">
        <v>2</v>
      </c>
      <c r="AX210">
        <v>47921797</v>
      </c>
      <c r="AY210">
        <v>1</v>
      </c>
      <c r="AZ210">
        <v>0</v>
      </c>
      <c r="BA210">
        <v>215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X210">
        <f>Y210*Source!I206</f>
        <v>6.3824999999999993E-3</v>
      </c>
      <c r="CY210">
        <f>AA210</f>
        <v>12334.56</v>
      </c>
      <c r="CZ210">
        <f>AE210</f>
        <v>2395.06</v>
      </c>
      <c r="DA210">
        <f>AI210</f>
        <v>5.15</v>
      </c>
      <c r="DB210">
        <f>ROUND(ROUND(AT210*CZ210,2),2)</f>
        <v>177.23</v>
      </c>
      <c r="DC210">
        <f>ROUND(ROUND(AT210*AG210,2),2)</f>
        <v>0</v>
      </c>
    </row>
    <row r="211" spans="1:107">
      <c r="A211">
        <f>ROW(Source!A206)</f>
        <v>206</v>
      </c>
      <c r="B211">
        <v>47920234</v>
      </c>
      <c r="C211">
        <v>47921780</v>
      </c>
      <c r="D211">
        <v>13637642</v>
      </c>
      <c r="E211">
        <v>1</v>
      </c>
      <c r="F211">
        <v>1</v>
      </c>
      <c r="G211">
        <v>1</v>
      </c>
      <c r="H211">
        <v>3</v>
      </c>
      <c r="I211" t="s">
        <v>335</v>
      </c>
      <c r="J211" t="s">
        <v>338</v>
      </c>
      <c r="K211" t="s">
        <v>336</v>
      </c>
      <c r="L211">
        <v>1348</v>
      </c>
      <c r="N211">
        <v>1009</v>
      </c>
      <c r="O211" t="s">
        <v>337</v>
      </c>
      <c r="P211" t="s">
        <v>337</v>
      </c>
      <c r="Q211">
        <v>1000</v>
      </c>
      <c r="W211">
        <v>1</v>
      </c>
      <c r="X211">
        <v>463314004</v>
      </c>
      <c r="Y211">
        <v>-101</v>
      </c>
      <c r="AA211">
        <v>1932.9</v>
      </c>
      <c r="AB211">
        <v>0</v>
      </c>
      <c r="AC211">
        <v>0</v>
      </c>
      <c r="AD211">
        <v>0</v>
      </c>
      <c r="AE211">
        <v>375.32</v>
      </c>
      <c r="AF211">
        <v>0</v>
      </c>
      <c r="AG211">
        <v>0</v>
      </c>
      <c r="AH211">
        <v>0</v>
      </c>
      <c r="AI211">
        <v>5.15</v>
      </c>
      <c r="AJ211">
        <v>1</v>
      </c>
      <c r="AK211">
        <v>1</v>
      </c>
      <c r="AL211">
        <v>1</v>
      </c>
      <c r="AN211">
        <v>0</v>
      </c>
      <c r="AO211">
        <v>1</v>
      </c>
      <c r="AP211">
        <v>0</v>
      </c>
      <c r="AQ211">
        <v>0</v>
      </c>
      <c r="AR211">
        <v>0</v>
      </c>
      <c r="AS211" t="s">
        <v>3</v>
      </c>
      <c r="AT211">
        <v>-101</v>
      </c>
      <c r="AU211" t="s">
        <v>3</v>
      </c>
      <c r="AV211">
        <v>0</v>
      </c>
      <c r="AW211">
        <v>2</v>
      </c>
      <c r="AX211">
        <v>47921798</v>
      </c>
      <c r="AY211">
        <v>1</v>
      </c>
      <c r="AZ211">
        <v>6144</v>
      </c>
      <c r="BA211">
        <v>216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CX211">
        <f>Y211*Source!I206</f>
        <v>-8.7112499999999997</v>
      </c>
      <c r="CY211">
        <f>AA211</f>
        <v>1932.9</v>
      </c>
      <c r="CZ211">
        <f>AE211</f>
        <v>375.32</v>
      </c>
      <c r="DA211">
        <f>AI211</f>
        <v>5.15</v>
      </c>
      <c r="DB211">
        <f>ROUND(ROUND(AT211*CZ211,2),2)</f>
        <v>-37907.32</v>
      </c>
      <c r="DC211">
        <f>ROUND(ROUND(AT211*AG211,2),2)</f>
        <v>0</v>
      </c>
    </row>
    <row r="212" spans="1:107">
      <c r="A212">
        <f>ROW(Source!A208)</f>
        <v>208</v>
      </c>
      <c r="B212">
        <v>47920234</v>
      </c>
      <c r="C212">
        <v>47921800</v>
      </c>
      <c r="D212">
        <v>9915065</v>
      </c>
      <c r="E212">
        <v>1</v>
      </c>
      <c r="F212">
        <v>1</v>
      </c>
      <c r="G212">
        <v>1</v>
      </c>
      <c r="H212">
        <v>1</v>
      </c>
      <c r="I212" t="s">
        <v>689</v>
      </c>
      <c r="J212" t="s">
        <v>3</v>
      </c>
      <c r="K212" t="s">
        <v>690</v>
      </c>
      <c r="L212">
        <v>1191</v>
      </c>
      <c r="N212">
        <v>1013</v>
      </c>
      <c r="O212" t="s">
        <v>460</v>
      </c>
      <c r="P212" t="s">
        <v>460</v>
      </c>
      <c r="Q212">
        <v>1</v>
      </c>
      <c r="W212">
        <v>0</v>
      </c>
      <c r="X212">
        <v>162480277</v>
      </c>
      <c r="Y212">
        <v>28.786799999999999</v>
      </c>
      <c r="AA212">
        <v>0</v>
      </c>
      <c r="AB212">
        <v>0</v>
      </c>
      <c r="AC212">
        <v>0</v>
      </c>
      <c r="AD212">
        <v>245.91</v>
      </c>
      <c r="AE212">
        <v>0</v>
      </c>
      <c r="AF212">
        <v>0</v>
      </c>
      <c r="AG212">
        <v>0</v>
      </c>
      <c r="AH212">
        <v>8.5</v>
      </c>
      <c r="AI212">
        <v>1</v>
      </c>
      <c r="AJ212">
        <v>1</v>
      </c>
      <c r="AK212">
        <v>1</v>
      </c>
      <c r="AL212">
        <v>28.93</v>
      </c>
      <c r="AN212">
        <v>0</v>
      </c>
      <c r="AO212">
        <v>1</v>
      </c>
      <c r="AP212">
        <v>1</v>
      </c>
      <c r="AQ212">
        <v>0</v>
      </c>
      <c r="AR212">
        <v>0</v>
      </c>
      <c r="AS212" t="s">
        <v>3</v>
      </c>
      <c r="AT212">
        <v>20.86</v>
      </c>
      <c r="AU212" t="s">
        <v>20</v>
      </c>
      <c r="AV212">
        <v>1</v>
      </c>
      <c r="AW212">
        <v>2</v>
      </c>
      <c r="AX212">
        <v>47921825</v>
      </c>
      <c r="AY212">
        <v>1</v>
      </c>
      <c r="AZ212">
        <v>0</v>
      </c>
      <c r="BA212">
        <v>217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CX212">
        <f>Y212*Source!I208</f>
        <v>0.99314460000000004</v>
      </c>
      <c r="CY212">
        <f>AD212</f>
        <v>245.91</v>
      </c>
      <c r="CZ212">
        <f>AH212</f>
        <v>8.5</v>
      </c>
      <c r="DA212">
        <f>AL212</f>
        <v>28.93</v>
      </c>
      <c r="DB212">
        <f t="shared" ref="DB212:DB227" si="39">ROUND((ROUND(AT212*CZ212,2)*ROUND((1.2*1.15),7)),2)</f>
        <v>244.69</v>
      </c>
      <c r="DC212">
        <f t="shared" ref="DC212:DC227" si="40">ROUND((ROUND(AT212*AG212,2)*ROUND((1.2*1.15),7)),2)</f>
        <v>0</v>
      </c>
    </row>
    <row r="213" spans="1:107">
      <c r="A213">
        <f>ROW(Source!A208)</f>
        <v>208</v>
      </c>
      <c r="B213">
        <v>47920234</v>
      </c>
      <c r="C213">
        <v>47921800</v>
      </c>
      <c r="D213">
        <v>121548</v>
      </c>
      <c r="E213">
        <v>1</v>
      </c>
      <c r="F213">
        <v>1</v>
      </c>
      <c r="G213">
        <v>1</v>
      </c>
      <c r="H213">
        <v>1</v>
      </c>
      <c r="I213" t="s">
        <v>26</v>
      </c>
      <c r="J213" t="s">
        <v>3</v>
      </c>
      <c r="K213" t="s">
        <v>461</v>
      </c>
      <c r="L213">
        <v>608254</v>
      </c>
      <c r="N213">
        <v>1013</v>
      </c>
      <c r="O213" t="s">
        <v>462</v>
      </c>
      <c r="P213" t="s">
        <v>462</v>
      </c>
      <c r="Q213">
        <v>1</v>
      </c>
      <c r="W213">
        <v>0</v>
      </c>
      <c r="X213">
        <v>-185737400</v>
      </c>
      <c r="Y213">
        <v>25.736999999999998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1</v>
      </c>
      <c r="AJ213">
        <v>1</v>
      </c>
      <c r="AK213">
        <v>28.93</v>
      </c>
      <c r="AL213">
        <v>1</v>
      </c>
      <c r="AN213">
        <v>0</v>
      </c>
      <c r="AO213">
        <v>1</v>
      </c>
      <c r="AP213">
        <v>1</v>
      </c>
      <c r="AQ213">
        <v>0</v>
      </c>
      <c r="AR213">
        <v>0</v>
      </c>
      <c r="AS213" t="s">
        <v>3</v>
      </c>
      <c r="AT213">
        <v>18.649999999999999</v>
      </c>
      <c r="AU213" t="s">
        <v>20</v>
      </c>
      <c r="AV213">
        <v>2</v>
      </c>
      <c r="AW213">
        <v>2</v>
      </c>
      <c r="AX213">
        <v>47921826</v>
      </c>
      <c r="AY213">
        <v>1</v>
      </c>
      <c r="AZ213">
        <v>0</v>
      </c>
      <c r="BA213">
        <v>218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CX213">
        <f>Y213*Source!I208</f>
        <v>0.88792650000000006</v>
      </c>
      <c r="CY213">
        <f>AD213</f>
        <v>0</v>
      </c>
      <c r="CZ213">
        <f>AH213</f>
        <v>0</v>
      </c>
      <c r="DA213">
        <f>AL213</f>
        <v>1</v>
      </c>
      <c r="DB213">
        <f t="shared" si="39"/>
        <v>0</v>
      </c>
      <c r="DC213">
        <f t="shared" si="40"/>
        <v>0</v>
      </c>
    </row>
    <row r="214" spans="1:107">
      <c r="A214">
        <f>ROW(Source!A208)</f>
        <v>208</v>
      </c>
      <c r="B214">
        <v>47920234</v>
      </c>
      <c r="C214">
        <v>47921800</v>
      </c>
      <c r="D214">
        <v>13554643</v>
      </c>
      <c r="E214">
        <v>1</v>
      </c>
      <c r="F214">
        <v>1</v>
      </c>
      <c r="G214">
        <v>1</v>
      </c>
      <c r="H214">
        <v>2</v>
      </c>
      <c r="I214" t="s">
        <v>663</v>
      </c>
      <c r="J214" t="s">
        <v>664</v>
      </c>
      <c r="K214" t="s">
        <v>665</v>
      </c>
      <c r="L214">
        <v>1368</v>
      </c>
      <c r="N214">
        <v>1011</v>
      </c>
      <c r="O214" t="s">
        <v>468</v>
      </c>
      <c r="P214" t="s">
        <v>468</v>
      </c>
      <c r="Q214">
        <v>1</v>
      </c>
      <c r="W214">
        <v>0</v>
      </c>
      <c r="X214">
        <v>-1910634522</v>
      </c>
      <c r="Y214">
        <v>0.75900000000000001</v>
      </c>
      <c r="AA214">
        <v>0</v>
      </c>
      <c r="AB214">
        <v>837</v>
      </c>
      <c r="AC214">
        <v>282.94</v>
      </c>
      <c r="AD214">
        <v>0</v>
      </c>
      <c r="AE214">
        <v>0</v>
      </c>
      <c r="AF214">
        <v>108.42</v>
      </c>
      <c r="AG214">
        <v>9.7799999999999994</v>
      </c>
      <c r="AH214">
        <v>0</v>
      </c>
      <c r="AI214">
        <v>1</v>
      </c>
      <c r="AJ214">
        <v>7.72</v>
      </c>
      <c r="AK214">
        <v>28.93</v>
      </c>
      <c r="AL214">
        <v>1</v>
      </c>
      <c r="AN214">
        <v>0</v>
      </c>
      <c r="AO214">
        <v>1</v>
      </c>
      <c r="AP214">
        <v>1</v>
      </c>
      <c r="AQ214">
        <v>0</v>
      </c>
      <c r="AR214">
        <v>0</v>
      </c>
      <c r="AS214" t="s">
        <v>3</v>
      </c>
      <c r="AT214">
        <v>0.55000000000000004</v>
      </c>
      <c r="AU214" t="s">
        <v>20</v>
      </c>
      <c r="AV214">
        <v>0</v>
      </c>
      <c r="AW214">
        <v>2</v>
      </c>
      <c r="AX214">
        <v>47921827</v>
      </c>
      <c r="AY214">
        <v>1</v>
      </c>
      <c r="AZ214">
        <v>0</v>
      </c>
      <c r="BA214">
        <v>219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CX214">
        <f>Y214*Source!I208</f>
        <v>2.6185500000000004E-2</v>
      </c>
      <c r="CY214">
        <f t="shared" ref="CY214:CY227" si="41">AB214</f>
        <v>837</v>
      </c>
      <c r="CZ214">
        <f t="shared" ref="CZ214:CZ227" si="42">AF214</f>
        <v>108.42</v>
      </c>
      <c r="DA214">
        <f t="shared" ref="DA214:DA227" si="43">AJ214</f>
        <v>7.72</v>
      </c>
      <c r="DB214">
        <f t="shared" si="39"/>
        <v>82.29</v>
      </c>
      <c r="DC214">
        <f t="shared" si="40"/>
        <v>7.42</v>
      </c>
    </row>
    <row r="215" spans="1:107">
      <c r="A215">
        <f>ROW(Source!A208)</f>
        <v>208</v>
      </c>
      <c r="B215">
        <v>47920234</v>
      </c>
      <c r="C215">
        <v>47921800</v>
      </c>
      <c r="D215">
        <v>13554663</v>
      </c>
      <c r="E215">
        <v>1</v>
      </c>
      <c r="F215">
        <v>1</v>
      </c>
      <c r="G215">
        <v>1</v>
      </c>
      <c r="H215">
        <v>2</v>
      </c>
      <c r="I215" t="s">
        <v>691</v>
      </c>
      <c r="J215" t="s">
        <v>692</v>
      </c>
      <c r="K215" t="s">
        <v>693</v>
      </c>
      <c r="L215">
        <v>1368</v>
      </c>
      <c r="N215">
        <v>1011</v>
      </c>
      <c r="O215" t="s">
        <v>468</v>
      </c>
      <c r="P215" t="s">
        <v>468</v>
      </c>
      <c r="Q215">
        <v>1</v>
      </c>
      <c r="W215">
        <v>0</v>
      </c>
      <c r="X215">
        <v>-1705371913</v>
      </c>
      <c r="Y215">
        <v>3.3671999999999995</v>
      </c>
      <c r="AA215">
        <v>0</v>
      </c>
      <c r="AB215">
        <v>10.27</v>
      </c>
      <c r="AC215">
        <v>0</v>
      </c>
      <c r="AD215">
        <v>0</v>
      </c>
      <c r="AE215">
        <v>0</v>
      </c>
      <c r="AF215">
        <v>1.33</v>
      </c>
      <c r="AG215">
        <v>0</v>
      </c>
      <c r="AH215">
        <v>0</v>
      </c>
      <c r="AI215">
        <v>1</v>
      </c>
      <c r="AJ215">
        <v>7.72</v>
      </c>
      <c r="AK215">
        <v>28.93</v>
      </c>
      <c r="AL215">
        <v>1</v>
      </c>
      <c r="AN215">
        <v>0</v>
      </c>
      <c r="AO215">
        <v>1</v>
      </c>
      <c r="AP215">
        <v>1</v>
      </c>
      <c r="AQ215">
        <v>0</v>
      </c>
      <c r="AR215">
        <v>0</v>
      </c>
      <c r="AS215" t="s">
        <v>3</v>
      </c>
      <c r="AT215">
        <v>2.44</v>
      </c>
      <c r="AU215" t="s">
        <v>20</v>
      </c>
      <c r="AV215">
        <v>0</v>
      </c>
      <c r="AW215">
        <v>2</v>
      </c>
      <c r="AX215">
        <v>47921828</v>
      </c>
      <c r="AY215">
        <v>1</v>
      </c>
      <c r="AZ215">
        <v>0</v>
      </c>
      <c r="BA215">
        <v>220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CX215">
        <f>Y215*Source!I208</f>
        <v>0.11616839999999999</v>
      </c>
      <c r="CY215">
        <f t="shared" si="41"/>
        <v>10.27</v>
      </c>
      <c r="CZ215">
        <f t="shared" si="42"/>
        <v>1.33</v>
      </c>
      <c r="DA215">
        <f t="shared" si="43"/>
        <v>7.72</v>
      </c>
      <c r="DB215">
        <f t="shared" si="39"/>
        <v>4.49</v>
      </c>
      <c r="DC215">
        <f t="shared" si="40"/>
        <v>0</v>
      </c>
    </row>
    <row r="216" spans="1:107">
      <c r="A216">
        <f>ROW(Source!A208)</f>
        <v>208</v>
      </c>
      <c r="B216">
        <v>47920234</v>
      </c>
      <c r="C216">
        <v>47921800</v>
      </c>
      <c r="D216">
        <v>13555267</v>
      </c>
      <c r="E216">
        <v>1</v>
      </c>
      <c r="F216">
        <v>1</v>
      </c>
      <c r="G216">
        <v>1</v>
      </c>
      <c r="H216">
        <v>2</v>
      </c>
      <c r="I216" t="s">
        <v>694</v>
      </c>
      <c r="J216" t="s">
        <v>695</v>
      </c>
      <c r="K216" t="s">
        <v>696</v>
      </c>
      <c r="L216">
        <v>1368</v>
      </c>
      <c r="N216">
        <v>1011</v>
      </c>
      <c r="O216" t="s">
        <v>468</v>
      </c>
      <c r="P216" t="s">
        <v>468</v>
      </c>
      <c r="Q216">
        <v>1</v>
      </c>
      <c r="W216">
        <v>0</v>
      </c>
      <c r="X216">
        <v>-948705889</v>
      </c>
      <c r="Y216">
        <v>1.3385999999999998</v>
      </c>
      <c r="AA216">
        <v>0</v>
      </c>
      <c r="AB216">
        <v>1809.03</v>
      </c>
      <c r="AC216">
        <v>379.56</v>
      </c>
      <c r="AD216">
        <v>0</v>
      </c>
      <c r="AE216">
        <v>0</v>
      </c>
      <c r="AF216">
        <v>234.33</v>
      </c>
      <c r="AG216">
        <v>13.12</v>
      </c>
      <c r="AH216">
        <v>0</v>
      </c>
      <c r="AI216">
        <v>1</v>
      </c>
      <c r="AJ216">
        <v>7.72</v>
      </c>
      <c r="AK216">
        <v>28.93</v>
      </c>
      <c r="AL216">
        <v>1</v>
      </c>
      <c r="AN216">
        <v>0</v>
      </c>
      <c r="AO216">
        <v>1</v>
      </c>
      <c r="AP216">
        <v>1</v>
      </c>
      <c r="AQ216">
        <v>0</v>
      </c>
      <c r="AR216">
        <v>0</v>
      </c>
      <c r="AS216" t="s">
        <v>3</v>
      </c>
      <c r="AT216">
        <v>0.97</v>
      </c>
      <c r="AU216" t="s">
        <v>20</v>
      </c>
      <c r="AV216">
        <v>0</v>
      </c>
      <c r="AW216">
        <v>2</v>
      </c>
      <c r="AX216">
        <v>47921829</v>
      </c>
      <c r="AY216">
        <v>1</v>
      </c>
      <c r="AZ216">
        <v>0</v>
      </c>
      <c r="BA216">
        <v>221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CX216">
        <f>Y216*Source!I208</f>
        <v>4.6181699999999999E-2</v>
      </c>
      <c r="CY216">
        <f t="shared" si="41"/>
        <v>1809.03</v>
      </c>
      <c r="CZ216">
        <f t="shared" si="42"/>
        <v>234.33</v>
      </c>
      <c r="DA216">
        <f t="shared" si="43"/>
        <v>7.72</v>
      </c>
      <c r="DB216">
        <f t="shared" si="39"/>
        <v>313.67</v>
      </c>
      <c r="DC216">
        <f t="shared" si="40"/>
        <v>17.57</v>
      </c>
    </row>
    <row r="217" spans="1:107">
      <c r="A217">
        <f>ROW(Source!A208)</f>
        <v>208</v>
      </c>
      <c r="B217">
        <v>47920234</v>
      </c>
      <c r="C217">
        <v>47921800</v>
      </c>
      <c r="D217">
        <v>13555316</v>
      </c>
      <c r="E217">
        <v>1</v>
      </c>
      <c r="F217">
        <v>1</v>
      </c>
      <c r="G217">
        <v>1</v>
      </c>
      <c r="H217">
        <v>2</v>
      </c>
      <c r="I217" t="s">
        <v>697</v>
      </c>
      <c r="J217" t="s">
        <v>698</v>
      </c>
      <c r="K217" t="s">
        <v>699</v>
      </c>
      <c r="L217">
        <v>1368</v>
      </c>
      <c r="N217">
        <v>1011</v>
      </c>
      <c r="O217" t="s">
        <v>468</v>
      </c>
      <c r="P217" t="s">
        <v>468</v>
      </c>
      <c r="Q217">
        <v>1</v>
      </c>
      <c r="W217">
        <v>0</v>
      </c>
      <c r="X217">
        <v>-1482887100</v>
      </c>
      <c r="Y217">
        <v>2.8151999999999999</v>
      </c>
      <c r="AA217">
        <v>0</v>
      </c>
      <c r="AB217">
        <v>11665.46</v>
      </c>
      <c r="AC217">
        <v>405.02</v>
      </c>
      <c r="AD217">
        <v>0</v>
      </c>
      <c r="AE217">
        <v>0</v>
      </c>
      <c r="AF217">
        <v>1511.07</v>
      </c>
      <c r="AG217">
        <v>14</v>
      </c>
      <c r="AH217">
        <v>0</v>
      </c>
      <c r="AI217">
        <v>1</v>
      </c>
      <c r="AJ217">
        <v>7.72</v>
      </c>
      <c r="AK217">
        <v>28.93</v>
      </c>
      <c r="AL217">
        <v>1</v>
      </c>
      <c r="AN217">
        <v>0</v>
      </c>
      <c r="AO217">
        <v>1</v>
      </c>
      <c r="AP217">
        <v>1</v>
      </c>
      <c r="AQ217">
        <v>0</v>
      </c>
      <c r="AR217">
        <v>0</v>
      </c>
      <c r="AS217" t="s">
        <v>3</v>
      </c>
      <c r="AT217">
        <v>2.04</v>
      </c>
      <c r="AU217" t="s">
        <v>20</v>
      </c>
      <c r="AV217">
        <v>0</v>
      </c>
      <c r="AW217">
        <v>2</v>
      </c>
      <c r="AX217">
        <v>47921830</v>
      </c>
      <c r="AY217">
        <v>1</v>
      </c>
      <c r="AZ217">
        <v>0</v>
      </c>
      <c r="BA217">
        <v>222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CX217">
        <f>Y217*Source!I208</f>
        <v>9.71244E-2</v>
      </c>
      <c r="CY217">
        <f t="shared" si="41"/>
        <v>11665.46</v>
      </c>
      <c r="CZ217">
        <f t="shared" si="42"/>
        <v>1511.07</v>
      </c>
      <c r="DA217">
        <f t="shared" si="43"/>
        <v>7.72</v>
      </c>
      <c r="DB217">
        <f t="shared" si="39"/>
        <v>4253.96</v>
      </c>
      <c r="DC217">
        <f t="shared" si="40"/>
        <v>39.409999999999997</v>
      </c>
    </row>
    <row r="218" spans="1:107">
      <c r="A218">
        <f>ROW(Source!A208)</f>
        <v>208</v>
      </c>
      <c r="B218">
        <v>47920234</v>
      </c>
      <c r="C218">
        <v>47921800</v>
      </c>
      <c r="D218">
        <v>13555345</v>
      </c>
      <c r="E218">
        <v>1</v>
      </c>
      <c r="F218">
        <v>1</v>
      </c>
      <c r="G218">
        <v>1</v>
      </c>
      <c r="H218">
        <v>2</v>
      </c>
      <c r="I218" t="s">
        <v>596</v>
      </c>
      <c r="J218" t="s">
        <v>597</v>
      </c>
      <c r="K218" t="s">
        <v>598</v>
      </c>
      <c r="L218">
        <v>1368</v>
      </c>
      <c r="N218">
        <v>1011</v>
      </c>
      <c r="O218" t="s">
        <v>468</v>
      </c>
      <c r="P218" t="s">
        <v>468</v>
      </c>
      <c r="Q218">
        <v>1</v>
      </c>
      <c r="W218">
        <v>0</v>
      </c>
      <c r="X218">
        <v>-249495239</v>
      </c>
      <c r="Y218">
        <v>4.2779999999999996</v>
      </c>
      <c r="AA218">
        <v>0</v>
      </c>
      <c r="AB218">
        <v>1040.58</v>
      </c>
      <c r="AC218">
        <v>326.33</v>
      </c>
      <c r="AD218">
        <v>0</v>
      </c>
      <c r="AE218">
        <v>0</v>
      </c>
      <c r="AF218">
        <v>134.79</v>
      </c>
      <c r="AG218">
        <v>11.28</v>
      </c>
      <c r="AH218">
        <v>0</v>
      </c>
      <c r="AI218">
        <v>1</v>
      </c>
      <c r="AJ218">
        <v>7.72</v>
      </c>
      <c r="AK218">
        <v>28.93</v>
      </c>
      <c r="AL218">
        <v>1</v>
      </c>
      <c r="AN218">
        <v>0</v>
      </c>
      <c r="AO218">
        <v>1</v>
      </c>
      <c r="AP218">
        <v>1</v>
      </c>
      <c r="AQ218">
        <v>0</v>
      </c>
      <c r="AR218">
        <v>0</v>
      </c>
      <c r="AS218" t="s">
        <v>3</v>
      </c>
      <c r="AT218">
        <v>3.1</v>
      </c>
      <c r="AU218" t="s">
        <v>20</v>
      </c>
      <c r="AV218">
        <v>0</v>
      </c>
      <c r="AW218">
        <v>2</v>
      </c>
      <c r="AX218">
        <v>47921831</v>
      </c>
      <c r="AY218">
        <v>1</v>
      </c>
      <c r="AZ218">
        <v>0</v>
      </c>
      <c r="BA218">
        <v>223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CX218">
        <f>Y218*Source!I208</f>
        <v>0.147591</v>
      </c>
      <c r="CY218">
        <f t="shared" si="41"/>
        <v>1040.58</v>
      </c>
      <c r="CZ218">
        <f t="shared" si="42"/>
        <v>134.79</v>
      </c>
      <c r="DA218">
        <f t="shared" si="43"/>
        <v>7.72</v>
      </c>
      <c r="DB218">
        <f t="shared" si="39"/>
        <v>576.63</v>
      </c>
      <c r="DC218">
        <f t="shared" si="40"/>
        <v>48.26</v>
      </c>
    </row>
    <row r="219" spans="1:107">
      <c r="A219">
        <f>ROW(Source!A208)</f>
        <v>208</v>
      </c>
      <c r="B219">
        <v>47920234</v>
      </c>
      <c r="C219">
        <v>47921800</v>
      </c>
      <c r="D219">
        <v>13556601</v>
      </c>
      <c r="E219">
        <v>1</v>
      </c>
      <c r="F219">
        <v>1</v>
      </c>
      <c r="G219">
        <v>1</v>
      </c>
      <c r="H219">
        <v>2</v>
      </c>
      <c r="I219" t="s">
        <v>633</v>
      </c>
      <c r="J219" t="s">
        <v>634</v>
      </c>
      <c r="K219" t="s">
        <v>635</v>
      </c>
      <c r="L219">
        <v>1368</v>
      </c>
      <c r="N219">
        <v>1011</v>
      </c>
      <c r="O219" t="s">
        <v>468</v>
      </c>
      <c r="P219" t="s">
        <v>468</v>
      </c>
      <c r="Q219">
        <v>1</v>
      </c>
      <c r="W219">
        <v>0</v>
      </c>
      <c r="X219">
        <v>817583148</v>
      </c>
      <c r="Y219">
        <v>1.5869999999999997</v>
      </c>
      <c r="AA219">
        <v>0</v>
      </c>
      <c r="AB219">
        <v>18.84</v>
      </c>
      <c r="AC219">
        <v>0</v>
      </c>
      <c r="AD219">
        <v>0</v>
      </c>
      <c r="AE219">
        <v>0</v>
      </c>
      <c r="AF219">
        <v>2.44</v>
      </c>
      <c r="AG219">
        <v>0</v>
      </c>
      <c r="AH219">
        <v>0</v>
      </c>
      <c r="AI219">
        <v>1</v>
      </c>
      <c r="AJ219">
        <v>7.72</v>
      </c>
      <c r="AK219">
        <v>28.93</v>
      </c>
      <c r="AL219">
        <v>1</v>
      </c>
      <c r="AN219">
        <v>0</v>
      </c>
      <c r="AO219">
        <v>1</v>
      </c>
      <c r="AP219">
        <v>1</v>
      </c>
      <c r="AQ219">
        <v>0</v>
      </c>
      <c r="AR219">
        <v>0</v>
      </c>
      <c r="AS219" t="s">
        <v>3</v>
      </c>
      <c r="AT219">
        <v>1.1499999999999999</v>
      </c>
      <c r="AU219" t="s">
        <v>20</v>
      </c>
      <c r="AV219">
        <v>0</v>
      </c>
      <c r="AW219">
        <v>2</v>
      </c>
      <c r="AX219">
        <v>47921832</v>
      </c>
      <c r="AY219">
        <v>1</v>
      </c>
      <c r="AZ219">
        <v>0</v>
      </c>
      <c r="BA219">
        <v>224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CX219">
        <f>Y219*Source!I208</f>
        <v>5.4751499999999995E-2</v>
      </c>
      <c r="CY219">
        <f t="shared" si="41"/>
        <v>18.84</v>
      </c>
      <c r="CZ219">
        <f t="shared" si="42"/>
        <v>2.44</v>
      </c>
      <c r="DA219">
        <f t="shared" si="43"/>
        <v>7.72</v>
      </c>
      <c r="DB219">
        <f t="shared" si="39"/>
        <v>3.88</v>
      </c>
      <c r="DC219">
        <f t="shared" si="40"/>
        <v>0</v>
      </c>
    </row>
    <row r="220" spans="1:107">
      <c r="A220">
        <f>ROW(Source!A208)</f>
        <v>208</v>
      </c>
      <c r="B220">
        <v>47920234</v>
      </c>
      <c r="C220">
        <v>47921800</v>
      </c>
      <c r="D220">
        <v>13556869</v>
      </c>
      <c r="E220">
        <v>1</v>
      </c>
      <c r="F220">
        <v>1</v>
      </c>
      <c r="G220">
        <v>1</v>
      </c>
      <c r="H220">
        <v>2</v>
      </c>
      <c r="I220" t="s">
        <v>700</v>
      </c>
      <c r="J220" t="s">
        <v>701</v>
      </c>
      <c r="K220" t="s">
        <v>702</v>
      </c>
      <c r="L220">
        <v>1368</v>
      </c>
      <c r="N220">
        <v>1011</v>
      </c>
      <c r="O220" t="s">
        <v>468</v>
      </c>
      <c r="P220" t="s">
        <v>468</v>
      </c>
      <c r="Q220">
        <v>1</v>
      </c>
      <c r="W220">
        <v>0</v>
      </c>
      <c r="X220">
        <v>1949110842</v>
      </c>
      <c r="Y220">
        <v>2.8151999999999999</v>
      </c>
      <c r="AA220">
        <v>0</v>
      </c>
      <c r="AB220">
        <v>6535.29</v>
      </c>
      <c r="AC220">
        <v>462.3</v>
      </c>
      <c r="AD220">
        <v>0</v>
      </c>
      <c r="AE220">
        <v>0</v>
      </c>
      <c r="AF220">
        <v>846.54</v>
      </c>
      <c r="AG220">
        <v>15.98</v>
      </c>
      <c r="AH220">
        <v>0</v>
      </c>
      <c r="AI220">
        <v>1</v>
      </c>
      <c r="AJ220">
        <v>7.72</v>
      </c>
      <c r="AK220">
        <v>28.93</v>
      </c>
      <c r="AL220">
        <v>1</v>
      </c>
      <c r="AN220">
        <v>0</v>
      </c>
      <c r="AO220">
        <v>1</v>
      </c>
      <c r="AP220">
        <v>1</v>
      </c>
      <c r="AQ220">
        <v>0</v>
      </c>
      <c r="AR220">
        <v>0</v>
      </c>
      <c r="AS220" t="s">
        <v>3</v>
      </c>
      <c r="AT220">
        <v>2.04</v>
      </c>
      <c r="AU220" t="s">
        <v>20</v>
      </c>
      <c r="AV220">
        <v>0</v>
      </c>
      <c r="AW220">
        <v>2</v>
      </c>
      <c r="AX220">
        <v>47921833</v>
      </c>
      <c r="AY220">
        <v>1</v>
      </c>
      <c r="AZ220">
        <v>0</v>
      </c>
      <c r="BA220">
        <v>225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CX220">
        <f>Y220*Source!I208</f>
        <v>9.71244E-2</v>
      </c>
      <c r="CY220">
        <f t="shared" si="41"/>
        <v>6535.29</v>
      </c>
      <c r="CZ220">
        <f t="shared" si="42"/>
        <v>846.54</v>
      </c>
      <c r="DA220">
        <f t="shared" si="43"/>
        <v>7.72</v>
      </c>
      <c r="DB220">
        <f t="shared" si="39"/>
        <v>2383.1799999999998</v>
      </c>
      <c r="DC220">
        <f t="shared" si="40"/>
        <v>44.99</v>
      </c>
    </row>
    <row r="221" spans="1:107">
      <c r="A221">
        <f>ROW(Source!A208)</f>
        <v>208</v>
      </c>
      <c r="B221">
        <v>47920234</v>
      </c>
      <c r="C221">
        <v>47921800</v>
      </c>
      <c r="D221">
        <v>13556870</v>
      </c>
      <c r="E221">
        <v>1</v>
      </c>
      <c r="F221">
        <v>1</v>
      </c>
      <c r="G221">
        <v>1</v>
      </c>
      <c r="H221">
        <v>2</v>
      </c>
      <c r="I221" t="s">
        <v>703</v>
      </c>
      <c r="J221" t="s">
        <v>704</v>
      </c>
      <c r="K221" t="s">
        <v>705</v>
      </c>
      <c r="L221">
        <v>1368</v>
      </c>
      <c r="N221">
        <v>1011</v>
      </c>
      <c r="O221" t="s">
        <v>468</v>
      </c>
      <c r="P221" t="s">
        <v>468</v>
      </c>
      <c r="Q221">
        <v>1</v>
      </c>
      <c r="W221">
        <v>0</v>
      </c>
      <c r="X221">
        <v>353832726</v>
      </c>
      <c r="Y221">
        <v>2.8151999999999999</v>
      </c>
      <c r="AA221">
        <v>0</v>
      </c>
      <c r="AB221">
        <v>179.41</v>
      </c>
      <c r="AC221">
        <v>0</v>
      </c>
      <c r="AD221">
        <v>0</v>
      </c>
      <c r="AE221">
        <v>0</v>
      </c>
      <c r="AF221">
        <v>23.24</v>
      </c>
      <c r="AG221">
        <v>0</v>
      </c>
      <c r="AH221">
        <v>0</v>
      </c>
      <c r="AI221">
        <v>1</v>
      </c>
      <c r="AJ221">
        <v>7.72</v>
      </c>
      <c r="AK221">
        <v>28.93</v>
      </c>
      <c r="AL221">
        <v>1</v>
      </c>
      <c r="AN221">
        <v>0</v>
      </c>
      <c r="AO221">
        <v>1</v>
      </c>
      <c r="AP221">
        <v>1</v>
      </c>
      <c r="AQ221">
        <v>0</v>
      </c>
      <c r="AR221">
        <v>0</v>
      </c>
      <c r="AS221" t="s">
        <v>3</v>
      </c>
      <c r="AT221">
        <v>2.04</v>
      </c>
      <c r="AU221" t="s">
        <v>20</v>
      </c>
      <c r="AV221">
        <v>0</v>
      </c>
      <c r="AW221">
        <v>2</v>
      </c>
      <c r="AX221">
        <v>47921834</v>
      </c>
      <c r="AY221">
        <v>1</v>
      </c>
      <c r="AZ221">
        <v>0</v>
      </c>
      <c r="BA221">
        <v>226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CX221">
        <f>Y221*Source!I208</f>
        <v>9.71244E-2</v>
      </c>
      <c r="CY221">
        <f t="shared" si="41"/>
        <v>179.41</v>
      </c>
      <c r="CZ221">
        <f t="shared" si="42"/>
        <v>23.24</v>
      </c>
      <c r="DA221">
        <f t="shared" si="43"/>
        <v>7.72</v>
      </c>
      <c r="DB221">
        <f t="shared" si="39"/>
        <v>65.430000000000007</v>
      </c>
      <c r="DC221">
        <f t="shared" si="40"/>
        <v>0</v>
      </c>
    </row>
    <row r="222" spans="1:107">
      <c r="A222">
        <f>ROW(Source!A208)</f>
        <v>208</v>
      </c>
      <c r="B222">
        <v>47920234</v>
      </c>
      <c r="C222">
        <v>47921800</v>
      </c>
      <c r="D222">
        <v>13556871</v>
      </c>
      <c r="E222">
        <v>1</v>
      </c>
      <c r="F222">
        <v>1</v>
      </c>
      <c r="G222">
        <v>1</v>
      </c>
      <c r="H222">
        <v>2</v>
      </c>
      <c r="I222" t="s">
        <v>706</v>
      </c>
      <c r="J222" t="s">
        <v>707</v>
      </c>
      <c r="K222" t="s">
        <v>708</v>
      </c>
      <c r="L222">
        <v>1368</v>
      </c>
      <c r="N222">
        <v>1011</v>
      </c>
      <c r="O222" t="s">
        <v>468</v>
      </c>
      <c r="P222" t="s">
        <v>468</v>
      </c>
      <c r="Q222">
        <v>1</v>
      </c>
      <c r="W222">
        <v>0</v>
      </c>
      <c r="X222">
        <v>166752838</v>
      </c>
      <c r="Y222">
        <v>2.0837999999999997</v>
      </c>
      <c r="AA222">
        <v>0</v>
      </c>
      <c r="AB222">
        <v>2774.26</v>
      </c>
      <c r="AC222">
        <v>379.56</v>
      </c>
      <c r="AD222">
        <v>0</v>
      </c>
      <c r="AE222">
        <v>0</v>
      </c>
      <c r="AF222">
        <v>359.36</v>
      </c>
      <c r="AG222">
        <v>13.12</v>
      </c>
      <c r="AH222">
        <v>0</v>
      </c>
      <c r="AI222">
        <v>1</v>
      </c>
      <c r="AJ222">
        <v>7.72</v>
      </c>
      <c r="AK222">
        <v>28.93</v>
      </c>
      <c r="AL222">
        <v>1</v>
      </c>
      <c r="AN222">
        <v>0</v>
      </c>
      <c r="AO222">
        <v>1</v>
      </c>
      <c r="AP222">
        <v>1</v>
      </c>
      <c r="AQ222">
        <v>0</v>
      </c>
      <c r="AR222">
        <v>0</v>
      </c>
      <c r="AS222" t="s">
        <v>3</v>
      </c>
      <c r="AT222">
        <v>1.51</v>
      </c>
      <c r="AU222" t="s">
        <v>20</v>
      </c>
      <c r="AV222">
        <v>0</v>
      </c>
      <c r="AW222">
        <v>2</v>
      </c>
      <c r="AX222">
        <v>47921835</v>
      </c>
      <c r="AY222">
        <v>1</v>
      </c>
      <c r="AZ222">
        <v>0</v>
      </c>
      <c r="BA222">
        <v>227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CX222">
        <f>Y222*Source!I208</f>
        <v>7.1891099999999999E-2</v>
      </c>
      <c r="CY222">
        <f t="shared" si="41"/>
        <v>2774.26</v>
      </c>
      <c r="CZ222">
        <f t="shared" si="42"/>
        <v>359.36</v>
      </c>
      <c r="DA222">
        <f t="shared" si="43"/>
        <v>7.72</v>
      </c>
      <c r="DB222">
        <f t="shared" si="39"/>
        <v>748.83</v>
      </c>
      <c r="DC222">
        <f t="shared" si="40"/>
        <v>27.34</v>
      </c>
    </row>
    <row r="223" spans="1:107">
      <c r="A223">
        <f>ROW(Source!A208)</f>
        <v>208</v>
      </c>
      <c r="B223">
        <v>47920234</v>
      </c>
      <c r="C223">
        <v>47921800</v>
      </c>
      <c r="D223">
        <v>13556872</v>
      </c>
      <c r="E223">
        <v>1</v>
      </c>
      <c r="F223">
        <v>1</v>
      </c>
      <c r="G223">
        <v>1</v>
      </c>
      <c r="H223">
        <v>2</v>
      </c>
      <c r="I223" t="s">
        <v>709</v>
      </c>
      <c r="J223" t="s">
        <v>710</v>
      </c>
      <c r="K223" t="s">
        <v>711</v>
      </c>
      <c r="L223">
        <v>1368</v>
      </c>
      <c r="N223">
        <v>1011</v>
      </c>
      <c r="O223" t="s">
        <v>468</v>
      </c>
      <c r="P223" t="s">
        <v>468</v>
      </c>
      <c r="Q223">
        <v>1</v>
      </c>
      <c r="W223">
        <v>0</v>
      </c>
      <c r="X223">
        <v>1707990375</v>
      </c>
      <c r="Y223">
        <v>3.5741999999999994</v>
      </c>
      <c r="AA223">
        <v>0</v>
      </c>
      <c r="AB223">
        <v>1103.03</v>
      </c>
      <c r="AC223">
        <v>379.56</v>
      </c>
      <c r="AD223">
        <v>0</v>
      </c>
      <c r="AE223">
        <v>0</v>
      </c>
      <c r="AF223">
        <v>142.88</v>
      </c>
      <c r="AG223">
        <v>13.12</v>
      </c>
      <c r="AH223">
        <v>0</v>
      </c>
      <c r="AI223">
        <v>1</v>
      </c>
      <c r="AJ223">
        <v>7.72</v>
      </c>
      <c r="AK223">
        <v>28.93</v>
      </c>
      <c r="AL223">
        <v>1</v>
      </c>
      <c r="AN223">
        <v>0</v>
      </c>
      <c r="AO223">
        <v>1</v>
      </c>
      <c r="AP223">
        <v>1</v>
      </c>
      <c r="AQ223">
        <v>0</v>
      </c>
      <c r="AR223">
        <v>0</v>
      </c>
      <c r="AS223" t="s">
        <v>3</v>
      </c>
      <c r="AT223">
        <v>2.59</v>
      </c>
      <c r="AU223" t="s">
        <v>20</v>
      </c>
      <c r="AV223">
        <v>0</v>
      </c>
      <c r="AW223">
        <v>2</v>
      </c>
      <c r="AX223">
        <v>47921836</v>
      </c>
      <c r="AY223">
        <v>1</v>
      </c>
      <c r="AZ223">
        <v>0</v>
      </c>
      <c r="BA223">
        <v>228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CX223">
        <f>Y223*Source!I208</f>
        <v>0.12330989999999999</v>
      </c>
      <c r="CY223">
        <f t="shared" si="41"/>
        <v>1103.03</v>
      </c>
      <c r="CZ223">
        <f t="shared" si="42"/>
        <v>142.88</v>
      </c>
      <c r="DA223">
        <f t="shared" si="43"/>
        <v>7.72</v>
      </c>
      <c r="DB223">
        <f t="shared" si="39"/>
        <v>510.68</v>
      </c>
      <c r="DC223">
        <f t="shared" si="40"/>
        <v>46.89</v>
      </c>
    </row>
    <row r="224" spans="1:107">
      <c r="A224">
        <f>ROW(Source!A208)</f>
        <v>208</v>
      </c>
      <c r="B224">
        <v>47920234</v>
      </c>
      <c r="C224">
        <v>47921800</v>
      </c>
      <c r="D224">
        <v>13556873</v>
      </c>
      <c r="E224">
        <v>1</v>
      </c>
      <c r="F224">
        <v>1</v>
      </c>
      <c r="G224">
        <v>1</v>
      </c>
      <c r="H224">
        <v>2</v>
      </c>
      <c r="I224" t="s">
        <v>712</v>
      </c>
      <c r="J224" t="s">
        <v>713</v>
      </c>
      <c r="K224" t="s">
        <v>714</v>
      </c>
      <c r="L224">
        <v>1368</v>
      </c>
      <c r="N224">
        <v>1011</v>
      </c>
      <c r="O224" t="s">
        <v>468</v>
      </c>
      <c r="P224" t="s">
        <v>468</v>
      </c>
      <c r="Q224">
        <v>1</v>
      </c>
      <c r="W224">
        <v>0</v>
      </c>
      <c r="X224">
        <v>-920684672</v>
      </c>
      <c r="Y224">
        <v>2.9531999999999998</v>
      </c>
      <c r="AA224">
        <v>0</v>
      </c>
      <c r="AB224">
        <v>4413.99</v>
      </c>
      <c r="AC224">
        <v>379.56</v>
      </c>
      <c r="AD224">
        <v>0</v>
      </c>
      <c r="AE224">
        <v>0</v>
      </c>
      <c r="AF224">
        <v>571.76</v>
      </c>
      <c r="AG224">
        <v>13.12</v>
      </c>
      <c r="AH224">
        <v>0</v>
      </c>
      <c r="AI224">
        <v>1</v>
      </c>
      <c r="AJ224">
        <v>7.72</v>
      </c>
      <c r="AK224">
        <v>28.93</v>
      </c>
      <c r="AL224">
        <v>1</v>
      </c>
      <c r="AN224">
        <v>0</v>
      </c>
      <c r="AO224">
        <v>1</v>
      </c>
      <c r="AP224">
        <v>1</v>
      </c>
      <c r="AQ224">
        <v>0</v>
      </c>
      <c r="AR224">
        <v>0</v>
      </c>
      <c r="AS224" t="s">
        <v>3</v>
      </c>
      <c r="AT224">
        <v>2.14</v>
      </c>
      <c r="AU224" t="s">
        <v>20</v>
      </c>
      <c r="AV224">
        <v>0</v>
      </c>
      <c r="AW224">
        <v>2</v>
      </c>
      <c r="AX224">
        <v>47921837</v>
      </c>
      <c r="AY224">
        <v>1</v>
      </c>
      <c r="AZ224">
        <v>0</v>
      </c>
      <c r="BA224">
        <v>229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CX224">
        <f>Y224*Source!I208</f>
        <v>0.1018854</v>
      </c>
      <c r="CY224">
        <f t="shared" si="41"/>
        <v>4413.99</v>
      </c>
      <c r="CZ224">
        <f t="shared" si="42"/>
        <v>571.76</v>
      </c>
      <c r="DA224">
        <f t="shared" si="43"/>
        <v>7.72</v>
      </c>
      <c r="DB224">
        <f t="shared" si="39"/>
        <v>1688.53</v>
      </c>
      <c r="DC224">
        <f t="shared" si="40"/>
        <v>38.75</v>
      </c>
    </row>
    <row r="225" spans="1:107">
      <c r="A225">
        <f>ROW(Source!A208)</f>
        <v>208</v>
      </c>
      <c r="B225">
        <v>47920234</v>
      </c>
      <c r="C225">
        <v>47921800</v>
      </c>
      <c r="D225">
        <v>13556895</v>
      </c>
      <c r="E225">
        <v>1</v>
      </c>
      <c r="F225">
        <v>1</v>
      </c>
      <c r="G225">
        <v>1</v>
      </c>
      <c r="H225">
        <v>2</v>
      </c>
      <c r="I225" t="s">
        <v>715</v>
      </c>
      <c r="J225" t="s">
        <v>716</v>
      </c>
      <c r="K225" t="s">
        <v>717</v>
      </c>
      <c r="L225">
        <v>1368</v>
      </c>
      <c r="N225">
        <v>1011</v>
      </c>
      <c r="O225" t="s">
        <v>468</v>
      </c>
      <c r="P225" t="s">
        <v>468</v>
      </c>
      <c r="Q225">
        <v>1</v>
      </c>
      <c r="W225">
        <v>0</v>
      </c>
      <c r="X225">
        <v>-257196907</v>
      </c>
      <c r="Y225">
        <v>5.1197999999999997</v>
      </c>
      <c r="AA225">
        <v>0</v>
      </c>
      <c r="AB225">
        <v>1864.38</v>
      </c>
      <c r="AC225">
        <v>282.94</v>
      </c>
      <c r="AD225">
        <v>0</v>
      </c>
      <c r="AE225">
        <v>0</v>
      </c>
      <c r="AF225">
        <v>241.5</v>
      </c>
      <c r="AG225">
        <v>9.7799999999999994</v>
      </c>
      <c r="AH225">
        <v>0</v>
      </c>
      <c r="AI225">
        <v>1</v>
      </c>
      <c r="AJ225">
        <v>7.72</v>
      </c>
      <c r="AK225">
        <v>28.93</v>
      </c>
      <c r="AL225">
        <v>1</v>
      </c>
      <c r="AN225">
        <v>0</v>
      </c>
      <c r="AO225">
        <v>1</v>
      </c>
      <c r="AP225">
        <v>1</v>
      </c>
      <c r="AQ225">
        <v>0</v>
      </c>
      <c r="AR225">
        <v>0</v>
      </c>
      <c r="AS225" t="s">
        <v>3</v>
      </c>
      <c r="AT225">
        <v>3.71</v>
      </c>
      <c r="AU225" t="s">
        <v>20</v>
      </c>
      <c r="AV225">
        <v>0</v>
      </c>
      <c r="AW225">
        <v>2</v>
      </c>
      <c r="AX225">
        <v>47921838</v>
      </c>
      <c r="AY225">
        <v>1</v>
      </c>
      <c r="AZ225">
        <v>0</v>
      </c>
      <c r="BA225">
        <v>230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CX225">
        <f>Y225*Source!I208</f>
        <v>0.17663310000000002</v>
      </c>
      <c r="CY225">
        <f t="shared" si="41"/>
        <v>1864.38</v>
      </c>
      <c r="CZ225">
        <f t="shared" si="42"/>
        <v>241.5</v>
      </c>
      <c r="DA225">
        <f t="shared" si="43"/>
        <v>7.72</v>
      </c>
      <c r="DB225">
        <f t="shared" si="39"/>
        <v>1236.44</v>
      </c>
      <c r="DC225">
        <f t="shared" si="40"/>
        <v>50.07</v>
      </c>
    </row>
    <row r="226" spans="1:107">
      <c r="A226">
        <f>ROW(Source!A208)</f>
        <v>208</v>
      </c>
      <c r="B226">
        <v>47920234</v>
      </c>
      <c r="C226">
        <v>47921800</v>
      </c>
      <c r="D226">
        <v>13556938</v>
      </c>
      <c r="E226">
        <v>1</v>
      </c>
      <c r="F226">
        <v>1</v>
      </c>
      <c r="G226">
        <v>1</v>
      </c>
      <c r="H226">
        <v>2</v>
      </c>
      <c r="I226" t="s">
        <v>718</v>
      </c>
      <c r="J226" t="s">
        <v>719</v>
      </c>
      <c r="K226" t="s">
        <v>720</v>
      </c>
      <c r="L226">
        <v>1368</v>
      </c>
      <c r="N226">
        <v>1011</v>
      </c>
      <c r="O226" t="s">
        <v>468</v>
      </c>
      <c r="P226" t="s">
        <v>468</v>
      </c>
      <c r="Q226">
        <v>1</v>
      </c>
      <c r="W226">
        <v>0</v>
      </c>
      <c r="X226">
        <v>-44390238</v>
      </c>
      <c r="Y226">
        <v>2.0975999999999995</v>
      </c>
      <c r="AA226">
        <v>0</v>
      </c>
      <c r="AB226">
        <v>384.22</v>
      </c>
      <c r="AC226">
        <v>0</v>
      </c>
      <c r="AD226">
        <v>0</v>
      </c>
      <c r="AE226">
        <v>0</v>
      </c>
      <c r="AF226">
        <v>49.77</v>
      </c>
      <c r="AG226">
        <v>0</v>
      </c>
      <c r="AH226">
        <v>0</v>
      </c>
      <c r="AI226">
        <v>1</v>
      </c>
      <c r="AJ226">
        <v>7.72</v>
      </c>
      <c r="AK226">
        <v>28.93</v>
      </c>
      <c r="AL226">
        <v>1</v>
      </c>
      <c r="AN226">
        <v>0</v>
      </c>
      <c r="AO226">
        <v>1</v>
      </c>
      <c r="AP226">
        <v>1</v>
      </c>
      <c r="AQ226">
        <v>0</v>
      </c>
      <c r="AR226">
        <v>0</v>
      </c>
      <c r="AS226" t="s">
        <v>3</v>
      </c>
      <c r="AT226">
        <v>1.52</v>
      </c>
      <c r="AU226" t="s">
        <v>20</v>
      </c>
      <c r="AV226">
        <v>0</v>
      </c>
      <c r="AW226">
        <v>2</v>
      </c>
      <c r="AX226">
        <v>47921839</v>
      </c>
      <c r="AY226">
        <v>1</v>
      </c>
      <c r="AZ226">
        <v>0</v>
      </c>
      <c r="BA226">
        <v>231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CX226">
        <f>Y226*Source!I208</f>
        <v>7.2367199999999993E-2</v>
      </c>
      <c r="CY226">
        <f t="shared" si="41"/>
        <v>384.22</v>
      </c>
      <c r="CZ226">
        <f t="shared" si="42"/>
        <v>49.77</v>
      </c>
      <c r="DA226">
        <f t="shared" si="43"/>
        <v>7.72</v>
      </c>
      <c r="DB226">
        <f t="shared" si="39"/>
        <v>104.4</v>
      </c>
      <c r="DC226">
        <f t="shared" si="40"/>
        <v>0</v>
      </c>
    </row>
    <row r="227" spans="1:107">
      <c r="A227">
        <f>ROW(Source!A208)</f>
        <v>208</v>
      </c>
      <c r="B227">
        <v>47920234</v>
      </c>
      <c r="C227">
        <v>47921800</v>
      </c>
      <c r="D227">
        <v>13557012</v>
      </c>
      <c r="E227">
        <v>1</v>
      </c>
      <c r="F227">
        <v>1</v>
      </c>
      <c r="G227">
        <v>1</v>
      </c>
      <c r="H227">
        <v>2</v>
      </c>
      <c r="I227" t="s">
        <v>721</v>
      </c>
      <c r="J227" t="s">
        <v>722</v>
      </c>
      <c r="K227" t="s">
        <v>723</v>
      </c>
      <c r="L227">
        <v>1368</v>
      </c>
      <c r="N227">
        <v>1011</v>
      </c>
      <c r="O227" t="s">
        <v>468</v>
      </c>
      <c r="P227" t="s">
        <v>468</v>
      </c>
      <c r="Q227">
        <v>1</v>
      </c>
      <c r="W227">
        <v>0</v>
      </c>
      <c r="X227">
        <v>-764725011</v>
      </c>
      <c r="Y227">
        <v>0.27599999999999997</v>
      </c>
      <c r="AA227">
        <v>0</v>
      </c>
      <c r="AB227">
        <v>1057.33</v>
      </c>
      <c r="AC227">
        <v>0</v>
      </c>
      <c r="AD227">
        <v>0</v>
      </c>
      <c r="AE227">
        <v>0</v>
      </c>
      <c r="AF227">
        <v>136.96</v>
      </c>
      <c r="AG227">
        <v>0</v>
      </c>
      <c r="AH227">
        <v>0</v>
      </c>
      <c r="AI227">
        <v>1</v>
      </c>
      <c r="AJ227">
        <v>7.72</v>
      </c>
      <c r="AK227">
        <v>28.93</v>
      </c>
      <c r="AL227">
        <v>1</v>
      </c>
      <c r="AN227">
        <v>0</v>
      </c>
      <c r="AO227">
        <v>1</v>
      </c>
      <c r="AP227">
        <v>1</v>
      </c>
      <c r="AQ227">
        <v>0</v>
      </c>
      <c r="AR227">
        <v>0</v>
      </c>
      <c r="AS227" t="s">
        <v>3</v>
      </c>
      <c r="AT227">
        <v>0.2</v>
      </c>
      <c r="AU227" t="s">
        <v>20</v>
      </c>
      <c r="AV227">
        <v>0</v>
      </c>
      <c r="AW227">
        <v>2</v>
      </c>
      <c r="AX227">
        <v>47921840</v>
      </c>
      <c r="AY227">
        <v>1</v>
      </c>
      <c r="AZ227">
        <v>0</v>
      </c>
      <c r="BA227">
        <v>232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CX227">
        <f>Y227*Source!I208</f>
        <v>9.5219999999999992E-3</v>
      </c>
      <c r="CY227">
        <f t="shared" si="41"/>
        <v>1057.33</v>
      </c>
      <c r="CZ227">
        <f t="shared" si="42"/>
        <v>136.96</v>
      </c>
      <c r="DA227">
        <f t="shared" si="43"/>
        <v>7.72</v>
      </c>
      <c r="DB227">
        <f t="shared" si="39"/>
        <v>37.799999999999997</v>
      </c>
      <c r="DC227">
        <f t="shared" si="40"/>
        <v>0</v>
      </c>
    </row>
    <row r="228" spans="1:107">
      <c r="A228">
        <f>ROW(Source!A208)</f>
        <v>208</v>
      </c>
      <c r="B228">
        <v>47920234</v>
      </c>
      <c r="C228">
        <v>47921800</v>
      </c>
      <c r="D228">
        <v>13558883</v>
      </c>
      <c r="E228">
        <v>1</v>
      </c>
      <c r="F228">
        <v>1</v>
      </c>
      <c r="G228">
        <v>1</v>
      </c>
      <c r="H228">
        <v>3</v>
      </c>
      <c r="I228" t="s">
        <v>724</v>
      </c>
      <c r="J228" t="s">
        <v>725</v>
      </c>
      <c r="K228" t="s">
        <v>726</v>
      </c>
      <c r="L228">
        <v>1348</v>
      </c>
      <c r="N228">
        <v>1009</v>
      </c>
      <c r="O228" t="s">
        <v>337</v>
      </c>
      <c r="P228" t="s">
        <v>337</v>
      </c>
      <c r="Q228">
        <v>1000</v>
      </c>
      <c r="W228">
        <v>0</v>
      </c>
      <c r="X228">
        <v>-484291971</v>
      </c>
      <c r="Y228">
        <v>8.0000000000000004E-4</v>
      </c>
      <c r="AA228">
        <v>47554.02</v>
      </c>
      <c r="AB228">
        <v>0</v>
      </c>
      <c r="AC228">
        <v>0</v>
      </c>
      <c r="AD228">
        <v>0</v>
      </c>
      <c r="AE228">
        <v>9233.7900000000009</v>
      </c>
      <c r="AF228">
        <v>0</v>
      </c>
      <c r="AG228">
        <v>0</v>
      </c>
      <c r="AH228">
        <v>0</v>
      </c>
      <c r="AI228">
        <v>5.15</v>
      </c>
      <c r="AJ228">
        <v>1</v>
      </c>
      <c r="AK228">
        <v>1</v>
      </c>
      <c r="AL228">
        <v>1</v>
      </c>
      <c r="AN228">
        <v>0</v>
      </c>
      <c r="AO228">
        <v>1</v>
      </c>
      <c r="AP228">
        <v>0</v>
      </c>
      <c r="AQ228">
        <v>0</v>
      </c>
      <c r="AR228">
        <v>0</v>
      </c>
      <c r="AS228" t="s">
        <v>3</v>
      </c>
      <c r="AT228">
        <v>8.0000000000000004E-4</v>
      </c>
      <c r="AU228" t="s">
        <v>3</v>
      </c>
      <c r="AV228">
        <v>0</v>
      </c>
      <c r="AW228">
        <v>2</v>
      </c>
      <c r="AX228">
        <v>47921841</v>
      </c>
      <c r="AY228">
        <v>1</v>
      </c>
      <c r="AZ228">
        <v>0</v>
      </c>
      <c r="BA228">
        <v>233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CX228">
        <f>Y228*Source!I208</f>
        <v>2.7600000000000003E-5</v>
      </c>
      <c r="CY228">
        <f t="shared" ref="CY228:CY235" si="44">AA228</f>
        <v>47554.02</v>
      </c>
      <c r="CZ228">
        <f t="shared" ref="CZ228:CZ235" si="45">AE228</f>
        <v>9233.7900000000009</v>
      </c>
      <c r="DA228">
        <f t="shared" ref="DA228:DA235" si="46">AI228</f>
        <v>5.15</v>
      </c>
      <c r="DB228">
        <f t="shared" ref="DB228:DB235" si="47">ROUND(ROUND(AT228*CZ228,2),2)</f>
        <v>7.39</v>
      </c>
      <c r="DC228">
        <f t="shared" ref="DC228:DC235" si="48">ROUND(ROUND(AT228*AG228,2),2)</f>
        <v>0</v>
      </c>
    </row>
    <row r="229" spans="1:107">
      <c r="A229">
        <f>ROW(Source!A208)</f>
        <v>208</v>
      </c>
      <c r="B229">
        <v>47920234</v>
      </c>
      <c r="C229">
        <v>47921800</v>
      </c>
      <c r="D229">
        <v>13560106</v>
      </c>
      <c r="E229">
        <v>1</v>
      </c>
      <c r="F229">
        <v>1</v>
      </c>
      <c r="G229">
        <v>1</v>
      </c>
      <c r="H229">
        <v>3</v>
      </c>
      <c r="I229" t="s">
        <v>727</v>
      </c>
      <c r="J229" t="s">
        <v>728</v>
      </c>
      <c r="K229" t="s">
        <v>729</v>
      </c>
      <c r="L229">
        <v>1354</v>
      </c>
      <c r="N229">
        <v>1010</v>
      </c>
      <c r="O229" t="s">
        <v>363</v>
      </c>
      <c r="P229" t="s">
        <v>363</v>
      </c>
      <c r="Q229">
        <v>1</v>
      </c>
      <c r="W229">
        <v>0</v>
      </c>
      <c r="X229">
        <v>-1907685076</v>
      </c>
      <c r="Y229">
        <v>0.78200000000000003</v>
      </c>
      <c r="AA229">
        <v>46740.68</v>
      </c>
      <c r="AB229">
        <v>0</v>
      </c>
      <c r="AC229">
        <v>0</v>
      </c>
      <c r="AD229">
        <v>0</v>
      </c>
      <c r="AE229">
        <v>9075.86</v>
      </c>
      <c r="AF229">
        <v>0</v>
      </c>
      <c r="AG229">
        <v>0</v>
      </c>
      <c r="AH229">
        <v>0</v>
      </c>
      <c r="AI229">
        <v>5.15</v>
      </c>
      <c r="AJ229">
        <v>1</v>
      </c>
      <c r="AK229">
        <v>1</v>
      </c>
      <c r="AL229">
        <v>1</v>
      </c>
      <c r="AN229">
        <v>0</v>
      </c>
      <c r="AO229">
        <v>1</v>
      </c>
      <c r="AP229">
        <v>0</v>
      </c>
      <c r="AQ229">
        <v>0</v>
      </c>
      <c r="AR229">
        <v>0</v>
      </c>
      <c r="AS229" t="s">
        <v>3</v>
      </c>
      <c r="AT229">
        <v>0.78200000000000003</v>
      </c>
      <c r="AU229" t="s">
        <v>3</v>
      </c>
      <c r="AV229">
        <v>0</v>
      </c>
      <c r="AW229">
        <v>2</v>
      </c>
      <c r="AX229">
        <v>47921842</v>
      </c>
      <c r="AY229">
        <v>1</v>
      </c>
      <c r="AZ229">
        <v>0</v>
      </c>
      <c r="BA229">
        <v>234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CX229">
        <f>Y229*Source!I208</f>
        <v>2.6979000000000003E-2</v>
      </c>
      <c r="CY229">
        <f t="shared" si="44"/>
        <v>46740.68</v>
      </c>
      <c r="CZ229">
        <f t="shared" si="45"/>
        <v>9075.86</v>
      </c>
      <c r="DA229">
        <f t="shared" si="46"/>
        <v>5.15</v>
      </c>
      <c r="DB229">
        <f t="shared" si="47"/>
        <v>7097.32</v>
      </c>
      <c r="DC229">
        <f t="shared" si="48"/>
        <v>0</v>
      </c>
    </row>
    <row r="230" spans="1:107">
      <c r="A230">
        <f>ROW(Source!A208)</f>
        <v>208</v>
      </c>
      <c r="B230">
        <v>47920234</v>
      </c>
      <c r="C230">
        <v>47921800</v>
      </c>
      <c r="D230">
        <v>13560129</v>
      </c>
      <c r="E230">
        <v>1</v>
      </c>
      <c r="F230">
        <v>1</v>
      </c>
      <c r="G230">
        <v>1</v>
      </c>
      <c r="H230">
        <v>3</v>
      </c>
      <c r="I230" t="s">
        <v>730</v>
      </c>
      <c r="J230" t="s">
        <v>731</v>
      </c>
      <c r="K230" t="s">
        <v>732</v>
      </c>
      <c r="L230">
        <v>1348</v>
      </c>
      <c r="N230">
        <v>1009</v>
      </c>
      <c r="O230" t="s">
        <v>337</v>
      </c>
      <c r="P230" t="s">
        <v>337</v>
      </c>
      <c r="Q230">
        <v>1000</v>
      </c>
      <c r="W230">
        <v>0</v>
      </c>
      <c r="X230">
        <v>1477953555</v>
      </c>
      <c r="Y230">
        <v>2.3999999999999998E-3</v>
      </c>
      <c r="AA230">
        <v>61800</v>
      </c>
      <c r="AB230">
        <v>0</v>
      </c>
      <c r="AC230">
        <v>0</v>
      </c>
      <c r="AD230">
        <v>0</v>
      </c>
      <c r="AE230">
        <v>12000</v>
      </c>
      <c r="AF230">
        <v>0</v>
      </c>
      <c r="AG230">
        <v>0</v>
      </c>
      <c r="AH230">
        <v>0</v>
      </c>
      <c r="AI230">
        <v>5.15</v>
      </c>
      <c r="AJ230">
        <v>1</v>
      </c>
      <c r="AK230">
        <v>1</v>
      </c>
      <c r="AL230">
        <v>1</v>
      </c>
      <c r="AN230">
        <v>0</v>
      </c>
      <c r="AO230">
        <v>1</v>
      </c>
      <c r="AP230">
        <v>0</v>
      </c>
      <c r="AQ230">
        <v>0</v>
      </c>
      <c r="AR230">
        <v>0</v>
      </c>
      <c r="AS230" t="s">
        <v>3</v>
      </c>
      <c r="AT230">
        <v>2.3999999999999998E-3</v>
      </c>
      <c r="AU230" t="s">
        <v>3</v>
      </c>
      <c r="AV230">
        <v>0</v>
      </c>
      <c r="AW230">
        <v>2</v>
      </c>
      <c r="AX230">
        <v>47921843</v>
      </c>
      <c r="AY230">
        <v>1</v>
      </c>
      <c r="AZ230">
        <v>0</v>
      </c>
      <c r="BA230">
        <v>235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CX230">
        <f>Y230*Source!I208</f>
        <v>8.2799999999999993E-5</v>
      </c>
      <c r="CY230">
        <f t="shared" si="44"/>
        <v>61800</v>
      </c>
      <c r="CZ230">
        <f t="shared" si="45"/>
        <v>12000</v>
      </c>
      <c r="DA230">
        <f t="shared" si="46"/>
        <v>5.15</v>
      </c>
      <c r="DB230">
        <f t="shared" si="47"/>
        <v>28.8</v>
      </c>
      <c r="DC230">
        <f t="shared" si="48"/>
        <v>0</v>
      </c>
    </row>
    <row r="231" spans="1:107">
      <c r="A231">
        <f>ROW(Source!A208)</f>
        <v>208</v>
      </c>
      <c r="B231">
        <v>47920234</v>
      </c>
      <c r="C231">
        <v>47921800</v>
      </c>
      <c r="D231">
        <v>13560252</v>
      </c>
      <c r="E231">
        <v>1</v>
      </c>
      <c r="F231">
        <v>1</v>
      </c>
      <c r="G231">
        <v>1</v>
      </c>
      <c r="H231">
        <v>3</v>
      </c>
      <c r="I231" t="s">
        <v>733</v>
      </c>
      <c r="J231" t="s">
        <v>734</v>
      </c>
      <c r="K231" t="s">
        <v>735</v>
      </c>
      <c r="L231">
        <v>1348</v>
      </c>
      <c r="N231">
        <v>1009</v>
      </c>
      <c r="O231" t="s">
        <v>337</v>
      </c>
      <c r="P231" t="s">
        <v>337</v>
      </c>
      <c r="Q231">
        <v>1000</v>
      </c>
      <c r="W231">
        <v>0</v>
      </c>
      <c r="X231">
        <v>404800933</v>
      </c>
      <c r="Y231">
        <v>4.0000000000000001E-3</v>
      </c>
      <c r="AA231">
        <v>16630.64</v>
      </c>
      <c r="AB231">
        <v>0</v>
      </c>
      <c r="AC231">
        <v>0</v>
      </c>
      <c r="AD231">
        <v>0</v>
      </c>
      <c r="AE231">
        <v>3229.25</v>
      </c>
      <c r="AF231">
        <v>0</v>
      </c>
      <c r="AG231">
        <v>0</v>
      </c>
      <c r="AH231">
        <v>0</v>
      </c>
      <c r="AI231">
        <v>5.15</v>
      </c>
      <c r="AJ231">
        <v>1</v>
      </c>
      <c r="AK231">
        <v>1</v>
      </c>
      <c r="AL231">
        <v>1</v>
      </c>
      <c r="AN231">
        <v>0</v>
      </c>
      <c r="AO231">
        <v>1</v>
      </c>
      <c r="AP231">
        <v>0</v>
      </c>
      <c r="AQ231">
        <v>0</v>
      </c>
      <c r="AR231">
        <v>0</v>
      </c>
      <c r="AS231" t="s">
        <v>3</v>
      </c>
      <c r="AT231">
        <v>4.0000000000000001E-3</v>
      </c>
      <c r="AU231" t="s">
        <v>3</v>
      </c>
      <c r="AV231">
        <v>0</v>
      </c>
      <c r="AW231">
        <v>2</v>
      </c>
      <c r="AX231">
        <v>47921844</v>
      </c>
      <c r="AY231">
        <v>1</v>
      </c>
      <c r="AZ231">
        <v>0</v>
      </c>
      <c r="BA231">
        <v>236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CX231">
        <f>Y231*Source!I208</f>
        <v>1.3800000000000002E-4</v>
      </c>
      <c r="CY231">
        <f t="shared" si="44"/>
        <v>16630.64</v>
      </c>
      <c r="CZ231">
        <f t="shared" si="45"/>
        <v>3229.25</v>
      </c>
      <c r="DA231">
        <f t="shared" si="46"/>
        <v>5.15</v>
      </c>
      <c r="DB231">
        <f t="shared" si="47"/>
        <v>12.92</v>
      </c>
      <c r="DC231">
        <f t="shared" si="48"/>
        <v>0</v>
      </c>
    </row>
    <row r="232" spans="1:107">
      <c r="A232">
        <f>ROW(Source!A208)</f>
        <v>208</v>
      </c>
      <c r="B232">
        <v>47920234</v>
      </c>
      <c r="C232">
        <v>47921800</v>
      </c>
      <c r="D232">
        <v>13560400</v>
      </c>
      <c r="E232">
        <v>1</v>
      </c>
      <c r="F232">
        <v>1</v>
      </c>
      <c r="G232">
        <v>1</v>
      </c>
      <c r="H232">
        <v>3</v>
      </c>
      <c r="I232" t="s">
        <v>736</v>
      </c>
      <c r="J232" t="s">
        <v>737</v>
      </c>
      <c r="K232" t="s">
        <v>738</v>
      </c>
      <c r="L232">
        <v>1348</v>
      </c>
      <c r="N232">
        <v>1009</v>
      </c>
      <c r="O232" t="s">
        <v>337</v>
      </c>
      <c r="P232" t="s">
        <v>337</v>
      </c>
      <c r="Q232">
        <v>1000</v>
      </c>
      <c r="W232">
        <v>0</v>
      </c>
      <c r="X232">
        <v>-2065085059</v>
      </c>
      <c r="Y232">
        <v>1.2E-2</v>
      </c>
      <c r="AA232">
        <v>57754.78</v>
      </c>
      <c r="AB232">
        <v>0</v>
      </c>
      <c r="AC232">
        <v>0</v>
      </c>
      <c r="AD232">
        <v>0</v>
      </c>
      <c r="AE232">
        <v>11214.52</v>
      </c>
      <c r="AF232">
        <v>0</v>
      </c>
      <c r="AG232">
        <v>0</v>
      </c>
      <c r="AH232">
        <v>0</v>
      </c>
      <c r="AI232">
        <v>5.15</v>
      </c>
      <c r="AJ232">
        <v>1</v>
      </c>
      <c r="AK232">
        <v>1</v>
      </c>
      <c r="AL232">
        <v>1</v>
      </c>
      <c r="AN232">
        <v>0</v>
      </c>
      <c r="AO232">
        <v>1</v>
      </c>
      <c r="AP232">
        <v>0</v>
      </c>
      <c r="AQ232">
        <v>0</v>
      </c>
      <c r="AR232">
        <v>0</v>
      </c>
      <c r="AS232" t="s">
        <v>3</v>
      </c>
      <c r="AT232">
        <v>1.2E-2</v>
      </c>
      <c r="AU232" t="s">
        <v>3</v>
      </c>
      <c r="AV232">
        <v>0</v>
      </c>
      <c r="AW232">
        <v>2</v>
      </c>
      <c r="AX232">
        <v>47921845</v>
      </c>
      <c r="AY232">
        <v>1</v>
      </c>
      <c r="AZ232">
        <v>0</v>
      </c>
      <c r="BA232">
        <v>237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CX232">
        <f>Y232*Source!I208</f>
        <v>4.1400000000000003E-4</v>
      </c>
      <c r="CY232">
        <f t="shared" si="44"/>
        <v>57754.78</v>
      </c>
      <c r="CZ232">
        <f t="shared" si="45"/>
        <v>11214.52</v>
      </c>
      <c r="DA232">
        <f t="shared" si="46"/>
        <v>5.15</v>
      </c>
      <c r="DB232">
        <f t="shared" si="47"/>
        <v>134.57</v>
      </c>
      <c r="DC232">
        <f t="shared" si="48"/>
        <v>0</v>
      </c>
    </row>
    <row r="233" spans="1:107">
      <c r="A233">
        <f>ROW(Source!A208)</f>
        <v>208</v>
      </c>
      <c r="B233">
        <v>47920234</v>
      </c>
      <c r="C233">
        <v>47921800</v>
      </c>
      <c r="D233">
        <v>13597437</v>
      </c>
      <c r="E233">
        <v>1</v>
      </c>
      <c r="F233">
        <v>1</v>
      </c>
      <c r="G233">
        <v>1</v>
      </c>
      <c r="H233">
        <v>3</v>
      </c>
      <c r="I233" t="s">
        <v>739</v>
      </c>
      <c r="J233" t="s">
        <v>740</v>
      </c>
      <c r="K233" t="s">
        <v>741</v>
      </c>
      <c r="L233">
        <v>1348</v>
      </c>
      <c r="N233">
        <v>1009</v>
      </c>
      <c r="O233" t="s">
        <v>337</v>
      </c>
      <c r="P233" t="s">
        <v>337</v>
      </c>
      <c r="Q233">
        <v>1000</v>
      </c>
      <c r="W233">
        <v>0</v>
      </c>
      <c r="X233">
        <v>-663786370</v>
      </c>
      <c r="Y233">
        <v>8.0000000000000004E-4</v>
      </c>
      <c r="AA233">
        <v>29224.6</v>
      </c>
      <c r="AB233">
        <v>0</v>
      </c>
      <c r="AC233">
        <v>0</v>
      </c>
      <c r="AD233">
        <v>0</v>
      </c>
      <c r="AE233">
        <v>5674.68</v>
      </c>
      <c r="AF233">
        <v>0</v>
      </c>
      <c r="AG233">
        <v>0</v>
      </c>
      <c r="AH233">
        <v>0</v>
      </c>
      <c r="AI233">
        <v>5.15</v>
      </c>
      <c r="AJ233">
        <v>1</v>
      </c>
      <c r="AK233">
        <v>1</v>
      </c>
      <c r="AL233">
        <v>1</v>
      </c>
      <c r="AN233">
        <v>0</v>
      </c>
      <c r="AO233">
        <v>1</v>
      </c>
      <c r="AP233">
        <v>0</v>
      </c>
      <c r="AQ233">
        <v>0</v>
      </c>
      <c r="AR233">
        <v>0</v>
      </c>
      <c r="AS233" t="s">
        <v>3</v>
      </c>
      <c r="AT233">
        <v>8.0000000000000004E-4</v>
      </c>
      <c r="AU233" t="s">
        <v>3</v>
      </c>
      <c r="AV233">
        <v>0</v>
      </c>
      <c r="AW233">
        <v>2</v>
      </c>
      <c r="AX233">
        <v>47921846</v>
      </c>
      <c r="AY233">
        <v>1</v>
      </c>
      <c r="AZ233">
        <v>0</v>
      </c>
      <c r="BA233">
        <v>238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CX233">
        <f>Y233*Source!I208</f>
        <v>2.7600000000000003E-5</v>
      </c>
      <c r="CY233">
        <f t="shared" si="44"/>
        <v>29224.6</v>
      </c>
      <c r="CZ233">
        <f t="shared" si="45"/>
        <v>5674.68</v>
      </c>
      <c r="DA233">
        <f t="shared" si="46"/>
        <v>5.15</v>
      </c>
      <c r="DB233">
        <f t="shared" si="47"/>
        <v>4.54</v>
      </c>
      <c r="DC233">
        <f t="shared" si="48"/>
        <v>0</v>
      </c>
    </row>
    <row r="234" spans="1:107">
      <c r="A234">
        <f>ROW(Source!A208)</f>
        <v>208</v>
      </c>
      <c r="B234">
        <v>47920234</v>
      </c>
      <c r="C234">
        <v>47921800</v>
      </c>
      <c r="D234">
        <v>13637593</v>
      </c>
      <c r="E234">
        <v>1</v>
      </c>
      <c r="F234">
        <v>1</v>
      </c>
      <c r="G234">
        <v>1</v>
      </c>
      <c r="H234">
        <v>3</v>
      </c>
      <c r="I234" t="s">
        <v>345</v>
      </c>
      <c r="J234" t="s">
        <v>347</v>
      </c>
      <c r="K234" t="s">
        <v>346</v>
      </c>
      <c r="L234">
        <v>1348</v>
      </c>
      <c r="N234">
        <v>1009</v>
      </c>
      <c r="O234" t="s">
        <v>337</v>
      </c>
      <c r="P234" t="s">
        <v>337</v>
      </c>
      <c r="Q234">
        <v>1000</v>
      </c>
      <c r="W234">
        <v>1</v>
      </c>
      <c r="X234">
        <v>1939557509</v>
      </c>
      <c r="Y234">
        <v>-105.26</v>
      </c>
      <c r="AA234">
        <v>2651.89</v>
      </c>
      <c r="AB234">
        <v>0</v>
      </c>
      <c r="AC234">
        <v>0</v>
      </c>
      <c r="AD234">
        <v>0</v>
      </c>
      <c r="AE234">
        <v>514.92999999999995</v>
      </c>
      <c r="AF234">
        <v>0</v>
      </c>
      <c r="AG234">
        <v>0</v>
      </c>
      <c r="AH234">
        <v>0</v>
      </c>
      <c r="AI234">
        <v>5.15</v>
      </c>
      <c r="AJ234">
        <v>1</v>
      </c>
      <c r="AK234">
        <v>1</v>
      </c>
      <c r="AL234">
        <v>1</v>
      </c>
      <c r="AN234">
        <v>0</v>
      </c>
      <c r="AO234">
        <v>1</v>
      </c>
      <c r="AP234">
        <v>1</v>
      </c>
      <c r="AQ234">
        <v>0</v>
      </c>
      <c r="AR234">
        <v>0</v>
      </c>
      <c r="AS234" t="s">
        <v>3</v>
      </c>
      <c r="AT234">
        <v>-105.26</v>
      </c>
      <c r="AU234" t="s">
        <v>3</v>
      </c>
      <c r="AV234">
        <v>0</v>
      </c>
      <c r="AW234">
        <v>2</v>
      </c>
      <c r="AX234">
        <v>47921847</v>
      </c>
      <c r="AY234">
        <v>1</v>
      </c>
      <c r="AZ234">
        <v>6144</v>
      </c>
      <c r="BA234">
        <v>239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CX234">
        <f>Y234*Source!I208</f>
        <v>-3.6314700000000006</v>
      </c>
      <c r="CY234">
        <f t="shared" si="44"/>
        <v>2651.89</v>
      </c>
      <c r="CZ234">
        <f t="shared" si="45"/>
        <v>514.92999999999995</v>
      </c>
      <c r="DA234">
        <f t="shared" si="46"/>
        <v>5.15</v>
      </c>
      <c r="DB234">
        <f t="shared" si="47"/>
        <v>-54201.53</v>
      </c>
      <c r="DC234">
        <f t="shared" si="48"/>
        <v>0</v>
      </c>
    </row>
    <row r="235" spans="1:107">
      <c r="A235">
        <f>ROW(Source!A208)</f>
        <v>208</v>
      </c>
      <c r="B235">
        <v>47920234</v>
      </c>
      <c r="C235">
        <v>47921800</v>
      </c>
      <c r="D235">
        <v>13637755</v>
      </c>
      <c r="E235">
        <v>1</v>
      </c>
      <c r="F235">
        <v>1</v>
      </c>
      <c r="G235">
        <v>1</v>
      </c>
      <c r="H235">
        <v>3</v>
      </c>
      <c r="I235" t="s">
        <v>742</v>
      </c>
      <c r="J235" t="s">
        <v>743</v>
      </c>
      <c r="K235" t="s">
        <v>744</v>
      </c>
      <c r="L235">
        <v>1339</v>
      </c>
      <c r="N235">
        <v>1007</v>
      </c>
      <c r="O235" t="s">
        <v>298</v>
      </c>
      <c r="P235" t="s">
        <v>298</v>
      </c>
      <c r="Q235">
        <v>1</v>
      </c>
      <c r="W235">
        <v>0</v>
      </c>
      <c r="X235">
        <v>949558190</v>
      </c>
      <c r="Y235">
        <v>20.52</v>
      </c>
      <c r="AA235">
        <v>32.450000000000003</v>
      </c>
      <c r="AB235">
        <v>0</v>
      </c>
      <c r="AC235">
        <v>0</v>
      </c>
      <c r="AD235">
        <v>0</v>
      </c>
      <c r="AE235">
        <v>6.3</v>
      </c>
      <c r="AF235">
        <v>0</v>
      </c>
      <c r="AG235">
        <v>0</v>
      </c>
      <c r="AH235">
        <v>0</v>
      </c>
      <c r="AI235">
        <v>5.15</v>
      </c>
      <c r="AJ235">
        <v>1</v>
      </c>
      <c r="AK235">
        <v>1</v>
      </c>
      <c r="AL235">
        <v>1</v>
      </c>
      <c r="AN235">
        <v>0</v>
      </c>
      <c r="AO235">
        <v>1</v>
      </c>
      <c r="AP235">
        <v>0</v>
      </c>
      <c r="AQ235">
        <v>0</v>
      </c>
      <c r="AR235">
        <v>0</v>
      </c>
      <c r="AS235" t="s">
        <v>3</v>
      </c>
      <c r="AT235">
        <v>20.52</v>
      </c>
      <c r="AU235" t="s">
        <v>3</v>
      </c>
      <c r="AV235">
        <v>0</v>
      </c>
      <c r="AW235">
        <v>2</v>
      </c>
      <c r="AX235">
        <v>47921848</v>
      </c>
      <c r="AY235">
        <v>1</v>
      </c>
      <c r="AZ235">
        <v>0</v>
      </c>
      <c r="BA235">
        <v>240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CX235">
        <f>Y235*Source!I208</f>
        <v>0.70794000000000001</v>
      </c>
      <c r="CY235">
        <f t="shared" si="44"/>
        <v>32.450000000000003</v>
      </c>
      <c r="CZ235">
        <f t="shared" si="45"/>
        <v>6.3</v>
      </c>
      <c r="DA235">
        <f t="shared" si="46"/>
        <v>5.15</v>
      </c>
      <c r="DB235">
        <f t="shared" si="47"/>
        <v>129.28</v>
      </c>
      <c r="DC235">
        <f t="shared" si="48"/>
        <v>0</v>
      </c>
    </row>
    <row r="236" spans="1:107">
      <c r="A236">
        <f>ROW(Source!A306)</f>
        <v>306</v>
      </c>
      <c r="B236">
        <v>47920234</v>
      </c>
      <c r="C236">
        <v>47921054</v>
      </c>
      <c r="D236">
        <v>9908273</v>
      </c>
      <c r="E236">
        <v>1</v>
      </c>
      <c r="F236">
        <v>1</v>
      </c>
      <c r="G236">
        <v>1</v>
      </c>
      <c r="H236">
        <v>1</v>
      </c>
      <c r="I236" t="s">
        <v>745</v>
      </c>
      <c r="J236" t="s">
        <v>3</v>
      </c>
      <c r="K236" t="s">
        <v>746</v>
      </c>
      <c r="L236">
        <v>1191</v>
      </c>
      <c r="N236">
        <v>1013</v>
      </c>
      <c r="O236" t="s">
        <v>460</v>
      </c>
      <c r="P236" t="s">
        <v>460</v>
      </c>
      <c r="Q236">
        <v>1</v>
      </c>
      <c r="W236">
        <v>0</v>
      </c>
      <c r="X236">
        <v>-635394333</v>
      </c>
      <c r="Y236">
        <v>0.49199999999999994</v>
      </c>
      <c r="AA236">
        <v>0</v>
      </c>
      <c r="AB236">
        <v>0</v>
      </c>
      <c r="AC236">
        <v>0</v>
      </c>
      <c r="AD236">
        <v>363.36</v>
      </c>
      <c r="AE236">
        <v>0</v>
      </c>
      <c r="AF236">
        <v>0</v>
      </c>
      <c r="AG236">
        <v>0</v>
      </c>
      <c r="AH236">
        <v>12.56</v>
      </c>
      <c r="AI236">
        <v>1</v>
      </c>
      <c r="AJ236">
        <v>1</v>
      </c>
      <c r="AK236">
        <v>1</v>
      </c>
      <c r="AL236">
        <v>28.93</v>
      </c>
      <c r="AN236">
        <v>0</v>
      </c>
      <c r="AO236">
        <v>1</v>
      </c>
      <c r="AP236">
        <v>1</v>
      </c>
      <c r="AQ236">
        <v>0</v>
      </c>
      <c r="AR236">
        <v>0</v>
      </c>
      <c r="AS236" t="s">
        <v>3</v>
      </c>
      <c r="AT236">
        <v>0.41</v>
      </c>
      <c r="AU236" t="s">
        <v>389</v>
      </c>
      <c r="AV236">
        <v>1</v>
      </c>
      <c r="AW236">
        <v>2</v>
      </c>
      <c r="AX236">
        <v>47921058</v>
      </c>
      <c r="AY236">
        <v>1</v>
      </c>
      <c r="AZ236">
        <v>0</v>
      </c>
      <c r="BA236">
        <v>241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CX236">
        <f>Y236*Source!I306</f>
        <v>3.9359999999999995</v>
      </c>
      <c r="CY236">
        <f t="shared" ref="CY236:CY241" si="49">AD236</f>
        <v>363.36</v>
      </c>
      <c r="CZ236">
        <f t="shared" ref="CZ236:CZ241" si="50">AH236</f>
        <v>12.56</v>
      </c>
      <c r="DA236">
        <f t="shared" ref="DA236:DA241" si="51">AL236</f>
        <v>28.93</v>
      </c>
      <c r="DB236">
        <f>ROUND((ROUND(AT236*CZ236,2)*ROUND(1.2,7)),2)</f>
        <v>6.18</v>
      </c>
      <c r="DC236">
        <f>ROUND((ROUND(AT236*AG236,2)*ROUND(1.2,7)),2)</f>
        <v>0</v>
      </c>
    </row>
    <row r="237" spans="1:107">
      <c r="A237">
        <f>ROW(Source!A306)</f>
        <v>306</v>
      </c>
      <c r="B237">
        <v>47920234</v>
      </c>
      <c r="C237">
        <v>47921054</v>
      </c>
      <c r="D237">
        <v>121548</v>
      </c>
      <c r="E237">
        <v>1</v>
      </c>
      <c r="F237">
        <v>1</v>
      </c>
      <c r="G237">
        <v>1</v>
      </c>
      <c r="H237">
        <v>1</v>
      </c>
      <c r="I237" t="s">
        <v>26</v>
      </c>
      <c r="J237" t="s">
        <v>3</v>
      </c>
      <c r="K237" t="s">
        <v>461</v>
      </c>
      <c r="L237">
        <v>608254</v>
      </c>
      <c r="N237">
        <v>1013</v>
      </c>
      <c r="O237" t="s">
        <v>462</v>
      </c>
      <c r="P237" t="s">
        <v>462</v>
      </c>
      <c r="Q237">
        <v>1</v>
      </c>
      <c r="W237">
        <v>0</v>
      </c>
      <c r="X237">
        <v>-185737400</v>
      </c>
      <c r="Y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1</v>
      </c>
      <c r="AJ237">
        <v>1</v>
      </c>
      <c r="AK237">
        <v>28.93</v>
      </c>
      <c r="AL237">
        <v>1</v>
      </c>
      <c r="AN237">
        <v>0</v>
      </c>
      <c r="AO237">
        <v>1</v>
      </c>
      <c r="AP237">
        <v>0</v>
      </c>
      <c r="AQ237">
        <v>0</v>
      </c>
      <c r="AR237">
        <v>0</v>
      </c>
      <c r="AS237" t="s">
        <v>3</v>
      </c>
      <c r="AT237">
        <v>0</v>
      </c>
      <c r="AU237" t="s">
        <v>3</v>
      </c>
      <c r="AV237">
        <v>2</v>
      </c>
      <c r="AW237">
        <v>2</v>
      </c>
      <c r="AX237">
        <v>47921059</v>
      </c>
      <c r="AY237">
        <v>1</v>
      </c>
      <c r="AZ237">
        <v>0</v>
      </c>
      <c r="BA237">
        <v>242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CX237">
        <f>Y237*Source!I306</f>
        <v>0</v>
      </c>
      <c r="CY237">
        <f t="shared" si="49"/>
        <v>0</v>
      </c>
      <c r="CZ237">
        <f t="shared" si="50"/>
        <v>0</v>
      </c>
      <c r="DA237">
        <f t="shared" si="51"/>
        <v>1</v>
      </c>
      <c r="DB237">
        <f>ROUND(ROUND(AT237*CZ237,2),2)</f>
        <v>0</v>
      </c>
      <c r="DC237">
        <f>ROUND(ROUND(AT237*AG237,2),2)</f>
        <v>0</v>
      </c>
    </row>
    <row r="238" spans="1:107">
      <c r="A238">
        <f>ROW(Source!A306)</f>
        <v>306</v>
      </c>
      <c r="B238">
        <v>47920234</v>
      </c>
      <c r="C238">
        <v>47921054</v>
      </c>
      <c r="D238">
        <v>9907306</v>
      </c>
      <c r="E238">
        <v>1</v>
      </c>
      <c r="F238">
        <v>1</v>
      </c>
      <c r="G238">
        <v>1</v>
      </c>
      <c r="H238">
        <v>1</v>
      </c>
      <c r="I238" t="s">
        <v>747</v>
      </c>
      <c r="J238" t="s">
        <v>3</v>
      </c>
      <c r="K238" t="s">
        <v>748</v>
      </c>
      <c r="L238">
        <v>1191</v>
      </c>
      <c r="N238">
        <v>1013</v>
      </c>
      <c r="O238" t="s">
        <v>460</v>
      </c>
      <c r="P238" t="s">
        <v>460</v>
      </c>
      <c r="Q238">
        <v>1</v>
      </c>
      <c r="W238">
        <v>0</v>
      </c>
      <c r="X238">
        <v>-1396037592</v>
      </c>
      <c r="Y238">
        <v>0.49199999999999994</v>
      </c>
      <c r="AA238">
        <v>0</v>
      </c>
      <c r="AB238">
        <v>0</v>
      </c>
      <c r="AC238">
        <v>0</v>
      </c>
      <c r="AD238">
        <v>357</v>
      </c>
      <c r="AE238">
        <v>0</v>
      </c>
      <c r="AF238">
        <v>0</v>
      </c>
      <c r="AG238">
        <v>0</v>
      </c>
      <c r="AH238">
        <v>12.34</v>
      </c>
      <c r="AI238">
        <v>1</v>
      </c>
      <c r="AJ238">
        <v>1</v>
      </c>
      <c r="AK238">
        <v>1</v>
      </c>
      <c r="AL238">
        <v>28.93</v>
      </c>
      <c r="AN238">
        <v>0</v>
      </c>
      <c r="AO238">
        <v>1</v>
      </c>
      <c r="AP238">
        <v>1</v>
      </c>
      <c r="AQ238">
        <v>0</v>
      </c>
      <c r="AR238">
        <v>0</v>
      </c>
      <c r="AS238" t="s">
        <v>3</v>
      </c>
      <c r="AT238">
        <v>0.41</v>
      </c>
      <c r="AU238" t="s">
        <v>389</v>
      </c>
      <c r="AV238">
        <v>1</v>
      </c>
      <c r="AW238">
        <v>2</v>
      </c>
      <c r="AX238">
        <v>47921060</v>
      </c>
      <c r="AY238">
        <v>1</v>
      </c>
      <c r="AZ238">
        <v>0</v>
      </c>
      <c r="BA238">
        <v>243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CX238">
        <f>Y238*Source!I306</f>
        <v>3.9359999999999995</v>
      </c>
      <c r="CY238">
        <f t="shared" si="49"/>
        <v>357</v>
      </c>
      <c r="CZ238">
        <f t="shared" si="50"/>
        <v>12.34</v>
      </c>
      <c r="DA238">
        <f t="shared" si="51"/>
        <v>28.93</v>
      </c>
      <c r="DB238">
        <f>ROUND((ROUND(AT238*CZ238,2)*ROUND(1.2,7)),2)</f>
        <v>6.07</v>
      </c>
      <c r="DC238">
        <f>ROUND((ROUND(AT238*AG238,2)*ROUND(1.2,7)),2)</f>
        <v>0</v>
      </c>
    </row>
    <row r="239" spans="1:107">
      <c r="A239">
        <f>ROW(Source!A307)</f>
        <v>307</v>
      </c>
      <c r="B239">
        <v>47920234</v>
      </c>
      <c r="C239">
        <v>47921061</v>
      </c>
      <c r="D239">
        <v>9908273</v>
      </c>
      <c r="E239">
        <v>1</v>
      </c>
      <c r="F239">
        <v>1</v>
      </c>
      <c r="G239">
        <v>1</v>
      </c>
      <c r="H239">
        <v>1</v>
      </c>
      <c r="I239" t="s">
        <v>745</v>
      </c>
      <c r="J239" t="s">
        <v>3</v>
      </c>
      <c r="K239" t="s">
        <v>746</v>
      </c>
      <c r="L239">
        <v>1191</v>
      </c>
      <c r="N239">
        <v>1013</v>
      </c>
      <c r="O239" t="s">
        <v>460</v>
      </c>
      <c r="P239" t="s">
        <v>460</v>
      </c>
      <c r="Q239">
        <v>1</v>
      </c>
      <c r="W239">
        <v>0</v>
      </c>
      <c r="X239">
        <v>-635394333</v>
      </c>
      <c r="Y239">
        <v>0.192</v>
      </c>
      <c r="AA239">
        <v>0</v>
      </c>
      <c r="AB239">
        <v>0</v>
      </c>
      <c r="AC239">
        <v>0</v>
      </c>
      <c r="AD239">
        <v>363.36</v>
      </c>
      <c r="AE239">
        <v>0</v>
      </c>
      <c r="AF239">
        <v>0</v>
      </c>
      <c r="AG239">
        <v>0</v>
      </c>
      <c r="AH239">
        <v>12.56</v>
      </c>
      <c r="AI239">
        <v>1</v>
      </c>
      <c r="AJ239">
        <v>1</v>
      </c>
      <c r="AK239">
        <v>1</v>
      </c>
      <c r="AL239">
        <v>28.93</v>
      </c>
      <c r="AN239">
        <v>0</v>
      </c>
      <c r="AO239">
        <v>1</v>
      </c>
      <c r="AP239">
        <v>1</v>
      </c>
      <c r="AQ239">
        <v>0</v>
      </c>
      <c r="AR239">
        <v>0</v>
      </c>
      <c r="AS239" t="s">
        <v>3</v>
      </c>
      <c r="AT239">
        <v>0.16</v>
      </c>
      <c r="AU239" t="s">
        <v>389</v>
      </c>
      <c r="AV239">
        <v>1</v>
      </c>
      <c r="AW239">
        <v>2</v>
      </c>
      <c r="AX239">
        <v>47921065</v>
      </c>
      <c r="AY239">
        <v>1</v>
      </c>
      <c r="AZ239">
        <v>0</v>
      </c>
      <c r="BA239">
        <v>244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CX239">
        <f>Y239*Source!I307</f>
        <v>0.38400000000000001</v>
      </c>
      <c r="CY239">
        <f t="shared" si="49"/>
        <v>363.36</v>
      </c>
      <c r="CZ239">
        <f t="shared" si="50"/>
        <v>12.56</v>
      </c>
      <c r="DA239">
        <f t="shared" si="51"/>
        <v>28.93</v>
      </c>
      <c r="DB239">
        <f>ROUND((ROUND(AT239*CZ239,2)*ROUND(1.2,7)),2)</f>
        <v>2.41</v>
      </c>
      <c r="DC239">
        <f>ROUND((ROUND(AT239*AG239,2)*ROUND(1.2,7)),2)</f>
        <v>0</v>
      </c>
    </row>
    <row r="240" spans="1:107">
      <c r="A240">
        <f>ROW(Source!A307)</f>
        <v>307</v>
      </c>
      <c r="B240">
        <v>47920234</v>
      </c>
      <c r="C240">
        <v>47921061</v>
      </c>
      <c r="D240">
        <v>121548</v>
      </c>
      <c r="E240">
        <v>1</v>
      </c>
      <c r="F240">
        <v>1</v>
      </c>
      <c r="G240">
        <v>1</v>
      </c>
      <c r="H240">
        <v>1</v>
      </c>
      <c r="I240" t="s">
        <v>26</v>
      </c>
      <c r="J240" t="s">
        <v>3</v>
      </c>
      <c r="K240" t="s">
        <v>461</v>
      </c>
      <c r="L240">
        <v>608254</v>
      </c>
      <c r="N240">
        <v>1013</v>
      </c>
      <c r="O240" t="s">
        <v>462</v>
      </c>
      <c r="P240" t="s">
        <v>462</v>
      </c>
      <c r="Q240">
        <v>1</v>
      </c>
      <c r="W240">
        <v>0</v>
      </c>
      <c r="X240">
        <v>-185737400</v>
      </c>
      <c r="Y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1</v>
      </c>
      <c r="AJ240">
        <v>1</v>
      </c>
      <c r="AK240">
        <v>28.93</v>
      </c>
      <c r="AL240">
        <v>1</v>
      </c>
      <c r="AN240">
        <v>0</v>
      </c>
      <c r="AO240">
        <v>1</v>
      </c>
      <c r="AP240">
        <v>0</v>
      </c>
      <c r="AQ240">
        <v>0</v>
      </c>
      <c r="AR240">
        <v>0</v>
      </c>
      <c r="AS240" t="s">
        <v>3</v>
      </c>
      <c r="AT240">
        <v>0</v>
      </c>
      <c r="AU240" t="s">
        <v>3</v>
      </c>
      <c r="AV240">
        <v>2</v>
      </c>
      <c r="AW240">
        <v>2</v>
      </c>
      <c r="AX240">
        <v>47921066</v>
      </c>
      <c r="AY240">
        <v>1</v>
      </c>
      <c r="AZ240">
        <v>0</v>
      </c>
      <c r="BA240">
        <v>245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CX240">
        <f>Y240*Source!I307</f>
        <v>0</v>
      </c>
      <c r="CY240">
        <f t="shared" si="49"/>
        <v>0</v>
      </c>
      <c r="CZ240">
        <f t="shared" si="50"/>
        <v>0</v>
      </c>
      <c r="DA240">
        <f t="shared" si="51"/>
        <v>1</v>
      </c>
      <c r="DB240">
        <f>ROUND(ROUND(AT240*CZ240,2),2)</f>
        <v>0</v>
      </c>
      <c r="DC240">
        <f>ROUND(ROUND(AT240*AG240,2),2)</f>
        <v>0</v>
      </c>
    </row>
    <row r="241" spans="1:107">
      <c r="A241">
        <f>ROW(Source!A307)</f>
        <v>307</v>
      </c>
      <c r="B241">
        <v>47920234</v>
      </c>
      <c r="C241">
        <v>47921061</v>
      </c>
      <c r="D241">
        <v>9907306</v>
      </c>
      <c r="E241">
        <v>1</v>
      </c>
      <c r="F241">
        <v>1</v>
      </c>
      <c r="G241">
        <v>1</v>
      </c>
      <c r="H241">
        <v>1</v>
      </c>
      <c r="I241" t="s">
        <v>747</v>
      </c>
      <c r="J241" t="s">
        <v>3</v>
      </c>
      <c r="K241" t="s">
        <v>748</v>
      </c>
      <c r="L241">
        <v>1191</v>
      </c>
      <c r="N241">
        <v>1013</v>
      </c>
      <c r="O241" t="s">
        <v>460</v>
      </c>
      <c r="P241" t="s">
        <v>460</v>
      </c>
      <c r="Q241">
        <v>1</v>
      </c>
      <c r="W241">
        <v>0</v>
      </c>
      <c r="X241">
        <v>-1396037592</v>
      </c>
      <c r="Y241">
        <v>0.192</v>
      </c>
      <c r="AA241">
        <v>0</v>
      </c>
      <c r="AB241">
        <v>0</v>
      </c>
      <c r="AC241">
        <v>0</v>
      </c>
      <c r="AD241">
        <v>357</v>
      </c>
      <c r="AE241">
        <v>0</v>
      </c>
      <c r="AF241">
        <v>0</v>
      </c>
      <c r="AG241">
        <v>0</v>
      </c>
      <c r="AH241">
        <v>12.34</v>
      </c>
      <c r="AI241">
        <v>1</v>
      </c>
      <c r="AJ241">
        <v>1</v>
      </c>
      <c r="AK241">
        <v>1</v>
      </c>
      <c r="AL241">
        <v>28.93</v>
      </c>
      <c r="AN241">
        <v>0</v>
      </c>
      <c r="AO241">
        <v>1</v>
      </c>
      <c r="AP241">
        <v>1</v>
      </c>
      <c r="AQ241">
        <v>0</v>
      </c>
      <c r="AR241">
        <v>0</v>
      </c>
      <c r="AS241" t="s">
        <v>3</v>
      </c>
      <c r="AT241">
        <v>0.16</v>
      </c>
      <c r="AU241" t="s">
        <v>389</v>
      </c>
      <c r="AV241">
        <v>1</v>
      </c>
      <c r="AW241">
        <v>2</v>
      </c>
      <c r="AX241">
        <v>47921067</v>
      </c>
      <c r="AY241">
        <v>1</v>
      </c>
      <c r="AZ241">
        <v>0</v>
      </c>
      <c r="BA241">
        <v>246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CX241">
        <f>Y241*Source!I307</f>
        <v>0.38400000000000001</v>
      </c>
      <c r="CY241">
        <f t="shared" si="49"/>
        <v>357</v>
      </c>
      <c r="CZ241">
        <f t="shared" si="50"/>
        <v>12.34</v>
      </c>
      <c r="DA241">
        <f t="shared" si="51"/>
        <v>28.93</v>
      </c>
      <c r="DB241">
        <f>ROUND((ROUND(AT241*CZ241,2)*ROUND(1.2,7)),2)</f>
        <v>2.36</v>
      </c>
      <c r="DC241">
        <f>ROUND((ROUND(AT241*AG241,2)*ROUND(1.2,7)),2)</f>
        <v>0</v>
      </c>
    </row>
    <row r="426" spans="9:9">
      <c r="I42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246"/>
  <sheetViews>
    <sheetView workbookViewId="0"/>
  </sheetViews>
  <sheetFormatPr defaultColWidth="9.140625" defaultRowHeight="12.75"/>
  <cols>
    <col min="1" max="256" width="9.140625" customWidth="1"/>
  </cols>
  <sheetData>
    <row r="1" spans="1:44">
      <c r="A1">
        <f>ROW(Source!A28)</f>
        <v>28</v>
      </c>
      <c r="B1">
        <v>47920648</v>
      </c>
      <c r="C1">
        <v>47920645</v>
      </c>
      <c r="D1">
        <v>9914874</v>
      </c>
      <c r="E1">
        <v>1</v>
      </c>
      <c r="F1">
        <v>1</v>
      </c>
      <c r="G1">
        <v>1</v>
      </c>
      <c r="H1">
        <v>1</v>
      </c>
      <c r="I1" t="s">
        <v>458</v>
      </c>
      <c r="J1" t="s">
        <v>3</v>
      </c>
      <c r="K1" t="s">
        <v>459</v>
      </c>
      <c r="L1">
        <v>1191</v>
      </c>
      <c r="N1">
        <v>1013</v>
      </c>
      <c r="O1" t="s">
        <v>460</v>
      </c>
      <c r="P1" t="s">
        <v>460</v>
      </c>
      <c r="Q1">
        <v>1</v>
      </c>
      <c r="X1">
        <v>280</v>
      </c>
      <c r="Y1">
        <v>0</v>
      </c>
      <c r="Z1">
        <v>0</v>
      </c>
      <c r="AA1">
        <v>0</v>
      </c>
      <c r="AB1">
        <v>7.58</v>
      </c>
      <c r="AC1">
        <v>0</v>
      </c>
      <c r="AD1">
        <v>1</v>
      </c>
      <c r="AE1">
        <v>1</v>
      </c>
      <c r="AF1" t="s">
        <v>20</v>
      </c>
      <c r="AG1">
        <v>386.4</v>
      </c>
      <c r="AH1">
        <v>2</v>
      </c>
      <c r="AI1">
        <v>47920646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>
      <c r="A2">
        <f>ROW(Source!A28)</f>
        <v>28</v>
      </c>
      <c r="B2">
        <v>47920649</v>
      </c>
      <c r="C2">
        <v>47920645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26</v>
      </c>
      <c r="J2" t="s">
        <v>3</v>
      </c>
      <c r="K2" t="s">
        <v>461</v>
      </c>
      <c r="L2">
        <v>608254</v>
      </c>
      <c r="N2">
        <v>1013</v>
      </c>
      <c r="O2" t="s">
        <v>462</v>
      </c>
      <c r="P2" t="s">
        <v>462</v>
      </c>
      <c r="Q2">
        <v>1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20</v>
      </c>
      <c r="AG2">
        <v>0</v>
      </c>
      <c r="AH2">
        <v>2</v>
      </c>
      <c r="AI2">
        <v>47920647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>
      <c r="A3">
        <f>ROW(Source!A29)</f>
        <v>29</v>
      </c>
      <c r="B3">
        <v>47920653</v>
      </c>
      <c r="C3">
        <v>47920650</v>
      </c>
      <c r="D3">
        <v>10022687</v>
      </c>
      <c r="E3">
        <v>1</v>
      </c>
      <c r="F3">
        <v>1</v>
      </c>
      <c r="G3">
        <v>1</v>
      </c>
      <c r="H3">
        <v>1</v>
      </c>
      <c r="I3" t="s">
        <v>463</v>
      </c>
      <c r="J3" t="s">
        <v>3</v>
      </c>
      <c r="K3" t="s">
        <v>464</v>
      </c>
      <c r="L3">
        <v>1191</v>
      </c>
      <c r="N3">
        <v>1013</v>
      </c>
      <c r="O3" t="s">
        <v>460</v>
      </c>
      <c r="P3" t="s">
        <v>460</v>
      </c>
      <c r="Q3">
        <v>1</v>
      </c>
      <c r="X3">
        <v>88.5</v>
      </c>
      <c r="Y3">
        <v>0</v>
      </c>
      <c r="Z3">
        <v>0</v>
      </c>
      <c r="AA3">
        <v>0</v>
      </c>
      <c r="AB3">
        <v>7.29</v>
      </c>
      <c r="AC3">
        <v>0</v>
      </c>
      <c r="AD3">
        <v>1</v>
      </c>
      <c r="AE3">
        <v>1</v>
      </c>
      <c r="AF3" t="s">
        <v>20</v>
      </c>
      <c r="AG3">
        <v>122.13</v>
      </c>
      <c r="AH3">
        <v>2</v>
      </c>
      <c r="AI3">
        <v>47920651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>
      <c r="A4">
        <f>ROW(Source!A29)</f>
        <v>29</v>
      </c>
      <c r="B4">
        <v>47920654</v>
      </c>
      <c r="C4">
        <v>47920650</v>
      </c>
      <c r="D4">
        <v>121548</v>
      </c>
      <c r="E4">
        <v>1</v>
      </c>
      <c r="F4">
        <v>1</v>
      </c>
      <c r="G4">
        <v>1</v>
      </c>
      <c r="H4">
        <v>1</v>
      </c>
      <c r="I4" t="s">
        <v>26</v>
      </c>
      <c r="J4" t="s">
        <v>3</v>
      </c>
      <c r="K4" t="s">
        <v>461</v>
      </c>
      <c r="L4">
        <v>608254</v>
      </c>
      <c r="N4">
        <v>1013</v>
      </c>
      <c r="O4" t="s">
        <v>462</v>
      </c>
      <c r="P4" t="s">
        <v>462</v>
      </c>
      <c r="Q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1</v>
      </c>
      <c r="AE4">
        <v>2</v>
      </c>
      <c r="AF4" t="s">
        <v>20</v>
      </c>
      <c r="AG4">
        <v>0</v>
      </c>
      <c r="AH4">
        <v>2</v>
      </c>
      <c r="AI4">
        <v>47920652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>
      <c r="A5">
        <f>ROW(Source!A30)</f>
        <v>30</v>
      </c>
      <c r="B5">
        <v>47924461</v>
      </c>
      <c r="C5">
        <v>47920655</v>
      </c>
      <c r="D5">
        <v>9914874</v>
      </c>
      <c r="E5">
        <v>1</v>
      </c>
      <c r="F5">
        <v>1</v>
      </c>
      <c r="G5">
        <v>1</v>
      </c>
      <c r="H5">
        <v>1</v>
      </c>
      <c r="I5" t="s">
        <v>458</v>
      </c>
      <c r="J5" t="s">
        <v>3</v>
      </c>
      <c r="K5" t="s">
        <v>459</v>
      </c>
      <c r="L5">
        <v>1191</v>
      </c>
      <c r="N5">
        <v>1013</v>
      </c>
      <c r="O5" t="s">
        <v>460</v>
      </c>
      <c r="P5" t="s">
        <v>460</v>
      </c>
      <c r="Q5">
        <v>1</v>
      </c>
      <c r="X5">
        <v>12.86</v>
      </c>
      <c r="Y5">
        <v>0</v>
      </c>
      <c r="Z5">
        <v>0</v>
      </c>
      <c r="AA5">
        <v>0</v>
      </c>
      <c r="AB5">
        <v>7.58</v>
      </c>
      <c r="AC5">
        <v>0</v>
      </c>
      <c r="AD5">
        <v>1</v>
      </c>
      <c r="AE5">
        <v>1</v>
      </c>
      <c r="AF5" t="s">
        <v>20</v>
      </c>
      <c r="AG5">
        <v>17.746799999999997</v>
      </c>
      <c r="AH5">
        <v>2</v>
      </c>
      <c r="AI5">
        <v>47924461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>
      <c r="A6">
        <f>ROW(Source!A30)</f>
        <v>30</v>
      </c>
      <c r="B6">
        <v>47924462</v>
      </c>
      <c r="C6">
        <v>47920655</v>
      </c>
      <c r="D6">
        <v>121548</v>
      </c>
      <c r="E6">
        <v>1</v>
      </c>
      <c r="F6">
        <v>1</v>
      </c>
      <c r="G6">
        <v>1</v>
      </c>
      <c r="H6">
        <v>1</v>
      </c>
      <c r="I6" t="s">
        <v>26</v>
      </c>
      <c r="J6" t="s">
        <v>3</v>
      </c>
      <c r="K6" t="s">
        <v>461</v>
      </c>
      <c r="L6">
        <v>608254</v>
      </c>
      <c r="N6">
        <v>1013</v>
      </c>
      <c r="O6" t="s">
        <v>462</v>
      </c>
      <c r="P6" t="s">
        <v>462</v>
      </c>
      <c r="Q6">
        <v>1</v>
      </c>
      <c r="X6">
        <v>58.76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2</v>
      </c>
      <c r="AF6" t="s">
        <v>20</v>
      </c>
      <c r="AG6">
        <v>81.088799999999992</v>
      </c>
      <c r="AH6">
        <v>2</v>
      </c>
      <c r="AI6">
        <v>47924462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>
      <c r="A7">
        <f>ROW(Source!A30)</f>
        <v>30</v>
      </c>
      <c r="B7">
        <v>47924463</v>
      </c>
      <c r="C7">
        <v>47920655</v>
      </c>
      <c r="D7">
        <v>13554921</v>
      </c>
      <c r="E7">
        <v>1</v>
      </c>
      <c r="F7">
        <v>1</v>
      </c>
      <c r="G7">
        <v>1</v>
      </c>
      <c r="H7">
        <v>2</v>
      </c>
      <c r="I7" t="s">
        <v>465</v>
      </c>
      <c r="J7" t="s">
        <v>466</v>
      </c>
      <c r="K7" t="s">
        <v>467</v>
      </c>
      <c r="L7">
        <v>1368</v>
      </c>
      <c r="N7">
        <v>1011</v>
      </c>
      <c r="O7" t="s">
        <v>468</v>
      </c>
      <c r="P7" t="s">
        <v>468</v>
      </c>
      <c r="Q7">
        <v>1</v>
      </c>
      <c r="X7">
        <v>58.76</v>
      </c>
      <c r="Y7">
        <v>0</v>
      </c>
      <c r="Z7">
        <v>79.94</v>
      </c>
      <c r="AA7">
        <v>11.28</v>
      </c>
      <c r="AB7">
        <v>0</v>
      </c>
      <c r="AC7">
        <v>0</v>
      </c>
      <c r="AD7">
        <v>1</v>
      </c>
      <c r="AE7">
        <v>0</v>
      </c>
      <c r="AF7" t="s">
        <v>20</v>
      </c>
      <c r="AG7">
        <v>81.088799999999992</v>
      </c>
      <c r="AH7">
        <v>2</v>
      </c>
      <c r="AI7">
        <v>47924463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>
      <c r="A8">
        <f>ROW(Source!A31)</f>
        <v>31</v>
      </c>
      <c r="B8">
        <v>47924464</v>
      </c>
      <c r="C8">
        <v>47920662</v>
      </c>
      <c r="D8">
        <v>9914874</v>
      </c>
      <c r="E8">
        <v>1</v>
      </c>
      <c r="F8">
        <v>1</v>
      </c>
      <c r="G8">
        <v>1</v>
      </c>
      <c r="H8">
        <v>1</v>
      </c>
      <c r="I8" t="s">
        <v>458</v>
      </c>
      <c r="J8" t="s">
        <v>3</v>
      </c>
      <c r="K8" t="s">
        <v>459</v>
      </c>
      <c r="L8">
        <v>1191</v>
      </c>
      <c r="N8">
        <v>1013</v>
      </c>
      <c r="O8" t="s">
        <v>460</v>
      </c>
      <c r="P8" t="s">
        <v>460</v>
      </c>
      <c r="Q8">
        <v>1</v>
      </c>
      <c r="X8">
        <v>154</v>
      </c>
      <c r="Y8">
        <v>0</v>
      </c>
      <c r="Z8">
        <v>0</v>
      </c>
      <c r="AA8">
        <v>0</v>
      </c>
      <c r="AB8">
        <v>7.58</v>
      </c>
      <c r="AC8">
        <v>0</v>
      </c>
      <c r="AD8">
        <v>1</v>
      </c>
      <c r="AE8">
        <v>1</v>
      </c>
      <c r="AF8" t="s">
        <v>20</v>
      </c>
      <c r="AG8">
        <v>212.51999999999995</v>
      </c>
      <c r="AH8">
        <v>2</v>
      </c>
      <c r="AI8">
        <v>47924464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>
      <c r="A9">
        <f>ROW(Source!A31)</f>
        <v>31</v>
      </c>
      <c r="B9">
        <v>47924465</v>
      </c>
      <c r="C9">
        <v>47920662</v>
      </c>
      <c r="D9">
        <v>121548</v>
      </c>
      <c r="E9">
        <v>1</v>
      </c>
      <c r="F9">
        <v>1</v>
      </c>
      <c r="G9">
        <v>1</v>
      </c>
      <c r="H9">
        <v>1</v>
      </c>
      <c r="I9" t="s">
        <v>26</v>
      </c>
      <c r="J9" t="s">
        <v>3</v>
      </c>
      <c r="K9" t="s">
        <v>461</v>
      </c>
      <c r="L9">
        <v>608254</v>
      </c>
      <c r="N9">
        <v>1013</v>
      </c>
      <c r="O9" t="s">
        <v>462</v>
      </c>
      <c r="P9" t="s">
        <v>462</v>
      </c>
      <c r="Q9">
        <v>1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2</v>
      </c>
      <c r="AF9" t="s">
        <v>20</v>
      </c>
      <c r="AG9">
        <v>0</v>
      </c>
      <c r="AH9">
        <v>2</v>
      </c>
      <c r="AI9">
        <v>47924465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>
      <c r="A10">
        <f>ROW(Source!A32)</f>
        <v>32</v>
      </c>
      <c r="B10">
        <v>47920670</v>
      </c>
      <c r="C10">
        <v>47920667</v>
      </c>
      <c r="D10">
        <v>121548</v>
      </c>
      <c r="E10">
        <v>1</v>
      </c>
      <c r="F10">
        <v>1</v>
      </c>
      <c r="G10">
        <v>1</v>
      </c>
      <c r="H10">
        <v>1</v>
      </c>
      <c r="I10" t="s">
        <v>26</v>
      </c>
      <c r="J10" t="s">
        <v>3</v>
      </c>
      <c r="K10" t="s">
        <v>461</v>
      </c>
      <c r="L10">
        <v>608254</v>
      </c>
      <c r="N10">
        <v>1013</v>
      </c>
      <c r="O10" t="s">
        <v>462</v>
      </c>
      <c r="P10" t="s">
        <v>462</v>
      </c>
      <c r="Q10">
        <v>1</v>
      </c>
      <c r="X10">
        <v>8.8699999999999992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2</v>
      </c>
      <c r="AF10" t="s">
        <v>20</v>
      </c>
      <c r="AG10">
        <v>12.240599999999997</v>
      </c>
      <c r="AH10">
        <v>2</v>
      </c>
      <c r="AI10">
        <v>47920668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>
      <c r="A11">
        <f>ROW(Source!A32)</f>
        <v>32</v>
      </c>
      <c r="B11">
        <v>47920671</v>
      </c>
      <c r="C11">
        <v>47920667</v>
      </c>
      <c r="D11">
        <v>13554972</v>
      </c>
      <c r="E11">
        <v>1</v>
      </c>
      <c r="F11">
        <v>1</v>
      </c>
      <c r="G11">
        <v>1</v>
      </c>
      <c r="H11">
        <v>2</v>
      </c>
      <c r="I11" t="s">
        <v>469</v>
      </c>
      <c r="J11" t="s">
        <v>470</v>
      </c>
      <c r="K11" t="s">
        <v>471</v>
      </c>
      <c r="L11">
        <v>1368</v>
      </c>
      <c r="N11">
        <v>1011</v>
      </c>
      <c r="O11" t="s">
        <v>468</v>
      </c>
      <c r="P11" t="s">
        <v>468</v>
      </c>
      <c r="Q11">
        <v>1</v>
      </c>
      <c r="X11">
        <v>8.8699999999999992</v>
      </c>
      <c r="Y11">
        <v>0</v>
      </c>
      <c r="Z11">
        <v>63.97</v>
      </c>
      <c r="AA11">
        <v>11.28</v>
      </c>
      <c r="AB11">
        <v>0</v>
      </c>
      <c r="AC11">
        <v>0</v>
      </c>
      <c r="AD11">
        <v>1</v>
      </c>
      <c r="AE11">
        <v>0</v>
      </c>
      <c r="AF11" t="s">
        <v>20</v>
      </c>
      <c r="AG11">
        <v>12.240599999999997</v>
      </c>
      <c r="AH11">
        <v>2</v>
      </c>
      <c r="AI11">
        <v>47920669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>
      <c r="A12">
        <f>ROW(Source!A33)</f>
        <v>33</v>
      </c>
      <c r="B12">
        <v>47924466</v>
      </c>
      <c r="C12">
        <v>47920672</v>
      </c>
      <c r="D12">
        <v>10022687</v>
      </c>
      <c r="E12">
        <v>1</v>
      </c>
      <c r="F12">
        <v>1</v>
      </c>
      <c r="G12">
        <v>1</v>
      </c>
      <c r="H12">
        <v>1</v>
      </c>
      <c r="I12" t="s">
        <v>463</v>
      </c>
      <c r="J12" t="s">
        <v>3</v>
      </c>
      <c r="K12" t="s">
        <v>464</v>
      </c>
      <c r="L12">
        <v>1191</v>
      </c>
      <c r="N12">
        <v>1013</v>
      </c>
      <c r="O12" t="s">
        <v>460</v>
      </c>
      <c r="P12" t="s">
        <v>460</v>
      </c>
      <c r="Q12">
        <v>1</v>
      </c>
      <c r="X12">
        <v>88.5</v>
      </c>
      <c r="Y12">
        <v>0</v>
      </c>
      <c r="Z12">
        <v>0</v>
      </c>
      <c r="AA12">
        <v>0</v>
      </c>
      <c r="AB12">
        <v>7.29</v>
      </c>
      <c r="AC12">
        <v>0</v>
      </c>
      <c r="AD12">
        <v>1</v>
      </c>
      <c r="AE12">
        <v>1</v>
      </c>
      <c r="AF12" t="s">
        <v>20</v>
      </c>
      <c r="AG12">
        <v>122.13</v>
      </c>
      <c r="AH12">
        <v>2</v>
      </c>
      <c r="AI12">
        <v>47924466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>
      <c r="A13">
        <f>ROW(Source!A33)</f>
        <v>33</v>
      </c>
      <c r="B13">
        <v>47924467</v>
      </c>
      <c r="C13">
        <v>47920672</v>
      </c>
      <c r="D13">
        <v>121548</v>
      </c>
      <c r="E13">
        <v>1</v>
      </c>
      <c r="F13">
        <v>1</v>
      </c>
      <c r="G13">
        <v>1</v>
      </c>
      <c r="H13">
        <v>1</v>
      </c>
      <c r="I13" t="s">
        <v>26</v>
      </c>
      <c r="J13" t="s">
        <v>3</v>
      </c>
      <c r="K13" t="s">
        <v>461</v>
      </c>
      <c r="L13">
        <v>608254</v>
      </c>
      <c r="N13">
        <v>1013</v>
      </c>
      <c r="O13" t="s">
        <v>462</v>
      </c>
      <c r="P13" t="s">
        <v>462</v>
      </c>
      <c r="Q13">
        <v>1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2</v>
      </c>
      <c r="AF13" t="s">
        <v>20</v>
      </c>
      <c r="AG13">
        <v>0</v>
      </c>
      <c r="AH13">
        <v>2</v>
      </c>
      <c r="AI13">
        <v>47924467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>
      <c r="A14">
        <f>ROW(Source!A34)</f>
        <v>34</v>
      </c>
      <c r="B14">
        <v>47920680</v>
      </c>
      <c r="C14">
        <v>47920677</v>
      </c>
      <c r="D14">
        <v>121548</v>
      </c>
      <c r="E14">
        <v>1</v>
      </c>
      <c r="F14">
        <v>1</v>
      </c>
      <c r="G14">
        <v>1</v>
      </c>
      <c r="H14">
        <v>1</v>
      </c>
      <c r="I14" t="s">
        <v>26</v>
      </c>
      <c r="J14" t="s">
        <v>3</v>
      </c>
      <c r="K14" t="s">
        <v>461</v>
      </c>
      <c r="L14">
        <v>608254</v>
      </c>
      <c r="N14">
        <v>1013</v>
      </c>
      <c r="O14" t="s">
        <v>462</v>
      </c>
      <c r="P14" t="s">
        <v>462</v>
      </c>
      <c r="Q14">
        <v>1</v>
      </c>
      <c r="X14">
        <v>2.9000000000000001E-2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2</v>
      </c>
      <c r="AF14" t="s">
        <v>3</v>
      </c>
      <c r="AG14">
        <v>2.9000000000000001E-2</v>
      </c>
      <c r="AH14">
        <v>2</v>
      </c>
      <c r="AI14">
        <v>47920678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>
      <c r="A15">
        <f>ROW(Source!A34)</f>
        <v>34</v>
      </c>
      <c r="B15">
        <v>47920681</v>
      </c>
      <c r="C15">
        <v>47920677</v>
      </c>
      <c r="D15">
        <v>13554895</v>
      </c>
      <c r="E15">
        <v>1</v>
      </c>
      <c r="F15">
        <v>1</v>
      </c>
      <c r="G15">
        <v>1</v>
      </c>
      <c r="H15">
        <v>2</v>
      </c>
      <c r="I15" t="s">
        <v>472</v>
      </c>
      <c r="J15" t="s">
        <v>473</v>
      </c>
      <c r="K15" t="s">
        <v>474</v>
      </c>
      <c r="L15">
        <v>1368</v>
      </c>
      <c r="N15">
        <v>1011</v>
      </c>
      <c r="O15" t="s">
        <v>468</v>
      </c>
      <c r="P15" t="s">
        <v>468</v>
      </c>
      <c r="Q15">
        <v>1</v>
      </c>
      <c r="X15">
        <v>2.9000000000000001E-2</v>
      </c>
      <c r="Y15">
        <v>0</v>
      </c>
      <c r="Z15">
        <v>141.56</v>
      </c>
      <c r="AA15">
        <v>13.12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2.9000000000000001E-2</v>
      </c>
      <c r="AH15">
        <v>2</v>
      </c>
      <c r="AI15">
        <v>47920679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>
      <c r="A16">
        <f>ROW(Source!A36)</f>
        <v>36</v>
      </c>
      <c r="B16">
        <v>47920694</v>
      </c>
      <c r="C16">
        <v>47920683</v>
      </c>
      <c r="D16">
        <v>9914966</v>
      </c>
      <c r="E16">
        <v>1</v>
      </c>
      <c r="F16">
        <v>1</v>
      </c>
      <c r="G16">
        <v>1</v>
      </c>
      <c r="H16">
        <v>1</v>
      </c>
      <c r="I16" t="s">
        <v>475</v>
      </c>
      <c r="J16" t="s">
        <v>3</v>
      </c>
      <c r="K16" t="s">
        <v>476</v>
      </c>
      <c r="L16">
        <v>1191</v>
      </c>
      <c r="N16">
        <v>1013</v>
      </c>
      <c r="O16" t="s">
        <v>460</v>
      </c>
      <c r="P16" t="s">
        <v>460</v>
      </c>
      <c r="Q16">
        <v>1</v>
      </c>
      <c r="X16">
        <v>286.52</v>
      </c>
      <c r="Y16">
        <v>0</v>
      </c>
      <c r="Z16">
        <v>0</v>
      </c>
      <c r="AA16">
        <v>0</v>
      </c>
      <c r="AB16">
        <v>8.93</v>
      </c>
      <c r="AC16">
        <v>0</v>
      </c>
      <c r="AD16">
        <v>1</v>
      </c>
      <c r="AE16">
        <v>1</v>
      </c>
      <c r="AF16" t="s">
        <v>66</v>
      </c>
      <c r="AG16">
        <v>395.3975999999999</v>
      </c>
      <c r="AH16">
        <v>2</v>
      </c>
      <c r="AI16">
        <v>47920684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>
      <c r="A17">
        <f>ROW(Source!A36)</f>
        <v>36</v>
      </c>
      <c r="B17">
        <v>47920695</v>
      </c>
      <c r="C17">
        <v>47920683</v>
      </c>
      <c r="D17">
        <v>121548</v>
      </c>
      <c r="E17">
        <v>1</v>
      </c>
      <c r="F17">
        <v>1</v>
      </c>
      <c r="G17">
        <v>1</v>
      </c>
      <c r="H17">
        <v>1</v>
      </c>
      <c r="I17" t="s">
        <v>26</v>
      </c>
      <c r="J17" t="s">
        <v>3</v>
      </c>
      <c r="K17" t="s">
        <v>461</v>
      </c>
      <c r="L17">
        <v>608254</v>
      </c>
      <c r="N17">
        <v>1013</v>
      </c>
      <c r="O17" t="s">
        <v>462</v>
      </c>
      <c r="P17" t="s">
        <v>462</v>
      </c>
      <c r="Q17">
        <v>1</v>
      </c>
      <c r="X17">
        <v>42.84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2</v>
      </c>
      <c r="AF17" t="s">
        <v>66</v>
      </c>
      <c r="AG17">
        <v>59.119199999999992</v>
      </c>
      <c r="AH17">
        <v>2</v>
      </c>
      <c r="AI17">
        <v>47920685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>
      <c r="A18">
        <f>ROW(Source!A36)</f>
        <v>36</v>
      </c>
      <c r="B18">
        <v>47920696</v>
      </c>
      <c r="C18">
        <v>47920683</v>
      </c>
      <c r="D18">
        <v>13554562</v>
      </c>
      <c r="E18">
        <v>1</v>
      </c>
      <c r="F18">
        <v>1</v>
      </c>
      <c r="G18">
        <v>1</v>
      </c>
      <c r="H18">
        <v>2</v>
      </c>
      <c r="I18" t="s">
        <v>477</v>
      </c>
      <c r="J18" t="s">
        <v>478</v>
      </c>
      <c r="K18" t="s">
        <v>479</v>
      </c>
      <c r="L18">
        <v>1368</v>
      </c>
      <c r="N18">
        <v>1011</v>
      </c>
      <c r="O18" t="s">
        <v>468</v>
      </c>
      <c r="P18" t="s">
        <v>468</v>
      </c>
      <c r="Q18">
        <v>1</v>
      </c>
      <c r="X18">
        <v>0.73</v>
      </c>
      <c r="Y18">
        <v>0</v>
      </c>
      <c r="Z18">
        <v>127.66</v>
      </c>
      <c r="AA18">
        <v>13.12</v>
      </c>
      <c r="AB18">
        <v>0</v>
      </c>
      <c r="AC18">
        <v>0</v>
      </c>
      <c r="AD18">
        <v>1</v>
      </c>
      <c r="AE18">
        <v>0</v>
      </c>
      <c r="AF18" t="s">
        <v>66</v>
      </c>
      <c r="AG18">
        <v>1.0073999999999999</v>
      </c>
      <c r="AH18">
        <v>2</v>
      </c>
      <c r="AI18">
        <v>47920686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>
      <c r="A19">
        <f>ROW(Source!A36)</f>
        <v>36</v>
      </c>
      <c r="B19">
        <v>47920697</v>
      </c>
      <c r="C19">
        <v>47920683</v>
      </c>
      <c r="D19">
        <v>13554786</v>
      </c>
      <c r="E19">
        <v>1</v>
      </c>
      <c r="F19">
        <v>1</v>
      </c>
      <c r="G19">
        <v>1</v>
      </c>
      <c r="H19">
        <v>2</v>
      </c>
      <c r="I19" t="s">
        <v>480</v>
      </c>
      <c r="J19" t="s">
        <v>481</v>
      </c>
      <c r="K19" t="s">
        <v>482</v>
      </c>
      <c r="L19">
        <v>1368</v>
      </c>
      <c r="N19">
        <v>1011</v>
      </c>
      <c r="O19" t="s">
        <v>468</v>
      </c>
      <c r="P19" t="s">
        <v>468</v>
      </c>
      <c r="Q19">
        <v>1</v>
      </c>
      <c r="X19">
        <v>2.3199999999999998</v>
      </c>
      <c r="Y19">
        <v>0</v>
      </c>
      <c r="Z19">
        <v>30.69</v>
      </c>
      <c r="AA19">
        <v>11.28</v>
      </c>
      <c r="AB19">
        <v>0</v>
      </c>
      <c r="AC19">
        <v>0</v>
      </c>
      <c r="AD19">
        <v>1</v>
      </c>
      <c r="AE19">
        <v>0</v>
      </c>
      <c r="AF19" t="s">
        <v>66</v>
      </c>
      <c r="AG19">
        <v>3.2015999999999996</v>
      </c>
      <c r="AH19">
        <v>2</v>
      </c>
      <c r="AI19">
        <v>47920687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>
      <c r="A20">
        <f>ROW(Source!A36)</f>
        <v>36</v>
      </c>
      <c r="B20">
        <v>47920698</v>
      </c>
      <c r="C20">
        <v>47920683</v>
      </c>
      <c r="D20">
        <v>13554849</v>
      </c>
      <c r="E20">
        <v>1</v>
      </c>
      <c r="F20">
        <v>1</v>
      </c>
      <c r="G20">
        <v>1</v>
      </c>
      <c r="H20">
        <v>2</v>
      </c>
      <c r="I20" t="s">
        <v>483</v>
      </c>
      <c r="J20" t="s">
        <v>484</v>
      </c>
      <c r="K20" t="s">
        <v>485</v>
      </c>
      <c r="L20">
        <v>1368</v>
      </c>
      <c r="N20">
        <v>1011</v>
      </c>
      <c r="O20" t="s">
        <v>468</v>
      </c>
      <c r="P20" t="s">
        <v>468</v>
      </c>
      <c r="Q20">
        <v>1</v>
      </c>
      <c r="X20">
        <v>20</v>
      </c>
      <c r="Y20">
        <v>0</v>
      </c>
      <c r="Z20">
        <v>35.86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66</v>
      </c>
      <c r="AG20">
        <v>27.599999999999998</v>
      </c>
      <c r="AH20">
        <v>2</v>
      </c>
      <c r="AI20">
        <v>47920688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>
      <c r="A21">
        <f>ROW(Source!A36)</f>
        <v>36</v>
      </c>
      <c r="B21">
        <v>47920699</v>
      </c>
      <c r="C21">
        <v>47920683</v>
      </c>
      <c r="D21">
        <v>13555046</v>
      </c>
      <c r="E21">
        <v>1</v>
      </c>
      <c r="F21">
        <v>1</v>
      </c>
      <c r="G21">
        <v>1</v>
      </c>
      <c r="H21">
        <v>2</v>
      </c>
      <c r="I21" t="s">
        <v>486</v>
      </c>
      <c r="J21" t="s">
        <v>487</v>
      </c>
      <c r="K21" t="s">
        <v>488</v>
      </c>
      <c r="L21">
        <v>1368</v>
      </c>
      <c r="N21">
        <v>1011</v>
      </c>
      <c r="O21" t="s">
        <v>468</v>
      </c>
      <c r="P21" t="s">
        <v>468</v>
      </c>
      <c r="Q21">
        <v>1</v>
      </c>
      <c r="X21">
        <v>39.79</v>
      </c>
      <c r="Y21">
        <v>0</v>
      </c>
      <c r="Z21">
        <v>109.39</v>
      </c>
      <c r="AA21">
        <v>13.12</v>
      </c>
      <c r="AB21">
        <v>0</v>
      </c>
      <c r="AC21">
        <v>0</v>
      </c>
      <c r="AD21">
        <v>1</v>
      </c>
      <c r="AE21">
        <v>0</v>
      </c>
      <c r="AF21" t="s">
        <v>66</v>
      </c>
      <c r="AG21">
        <v>54.910199999999996</v>
      </c>
      <c r="AH21">
        <v>2</v>
      </c>
      <c r="AI21">
        <v>47920689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>
      <c r="A22">
        <f>ROW(Source!A36)</f>
        <v>36</v>
      </c>
      <c r="B22">
        <v>47920700</v>
      </c>
      <c r="C22">
        <v>47920683</v>
      </c>
      <c r="D22">
        <v>13556983</v>
      </c>
      <c r="E22">
        <v>1</v>
      </c>
      <c r="F22">
        <v>1</v>
      </c>
      <c r="G22">
        <v>1</v>
      </c>
      <c r="H22">
        <v>2</v>
      </c>
      <c r="I22" t="s">
        <v>489</v>
      </c>
      <c r="J22" t="s">
        <v>490</v>
      </c>
      <c r="K22" t="s">
        <v>491</v>
      </c>
      <c r="L22">
        <v>1368</v>
      </c>
      <c r="N22">
        <v>1011</v>
      </c>
      <c r="O22" t="s">
        <v>468</v>
      </c>
      <c r="P22" t="s">
        <v>468</v>
      </c>
      <c r="Q22">
        <v>1</v>
      </c>
      <c r="X22">
        <v>1.1000000000000001</v>
      </c>
      <c r="Y22">
        <v>0</v>
      </c>
      <c r="Z22">
        <v>80.75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66</v>
      </c>
      <c r="AG22">
        <v>1.5179999999999998</v>
      </c>
      <c r="AH22">
        <v>2</v>
      </c>
      <c r="AI22">
        <v>47920690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>
      <c r="A23">
        <f>ROW(Source!A36)</f>
        <v>36</v>
      </c>
      <c r="B23">
        <v>47920701</v>
      </c>
      <c r="C23">
        <v>47920683</v>
      </c>
      <c r="D23">
        <v>13560199</v>
      </c>
      <c r="E23">
        <v>1</v>
      </c>
      <c r="F23">
        <v>1</v>
      </c>
      <c r="G23">
        <v>1</v>
      </c>
      <c r="H23">
        <v>3</v>
      </c>
      <c r="I23" t="s">
        <v>492</v>
      </c>
      <c r="J23" t="s">
        <v>493</v>
      </c>
      <c r="K23" t="s">
        <v>494</v>
      </c>
      <c r="L23">
        <v>1327</v>
      </c>
      <c r="N23">
        <v>1005</v>
      </c>
      <c r="O23" t="s">
        <v>495</v>
      </c>
      <c r="P23" t="s">
        <v>495</v>
      </c>
      <c r="Q23">
        <v>1</v>
      </c>
      <c r="X23">
        <v>0.44</v>
      </c>
      <c r="Y23">
        <v>7.41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0.44</v>
      </c>
      <c r="AH23">
        <v>2</v>
      </c>
      <c r="AI23">
        <v>47920691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>
      <c r="A24">
        <f>ROW(Source!A36)</f>
        <v>36</v>
      </c>
      <c r="B24">
        <v>47920702</v>
      </c>
      <c r="C24">
        <v>47920683</v>
      </c>
      <c r="D24">
        <v>13637754</v>
      </c>
      <c r="E24">
        <v>1</v>
      </c>
      <c r="F24">
        <v>1</v>
      </c>
      <c r="G24">
        <v>1</v>
      </c>
      <c r="H24">
        <v>3</v>
      </c>
      <c r="I24" t="s">
        <v>496</v>
      </c>
      <c r="J24" t="s">
        <v>497</v>
      </c>
      <c r="K24" t="s">
        <v>498</v>
      </c>
      <c r="L24">
        <v>1339</v>
      </c>
      <c r="N24">
        <v>1007</v>
      </c>
      <c r="O24" t="s">
        <v>298</v>
      </c>
      <c r="P24" t="s">
        <v>298</v>
      </c>
      <c r="Q24">
        <v>1</v>
      </c>
      <c r="X24">
        <v>48</v>
      </c>
      <c r="Y24">
        <v>6.3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48</v>
      </c>
      <c r="AH24">
        <v>2</v>
      </c>
      <c r="AI24">
        <v>47920692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>
      <c r="A25">
        <f>ROW(Source!A36)</f>
        <v>36</v>
      </c>
      <c r="B25">
        <v>47920703</v>
      </c>
      <c r="C25">
        <v>47920683</v>
      </c>
      <c r="D25">
        <v>13651724</v>
      </c>
      <c r="E25">
        <v>1</v>
      </c>
      <c r="F25">
        <v>1</v>
      </c>
      <c r="G25">
        <v>1</v>
      </c>
      <c r="H25">
        <v>3</v>
      </c>
      <c r="I25" t="s">
        <v>499</v>
      </c>
      <c r="J25" t="s">
        <v>500</v>
      </c>
      <c r="K25" t="s">
        <v>501</v>
      </c>
      <c r="L25">
        <v>1302</v>
      </c>
      <c r="N25">
        <v>1003</v>
      </c>
      <c r="O25" t="s">
        <v>245</v>
      </c>
      <c r="P25" t="s">
        <v>245</v>
      </c>
      <c r="Q25">
        <v>10</v>
      </c>
      <c r="X25">
        <v>101</v>
      </c>
      <c r="Y25">
        <v>1572.5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101</v>
      </c>
      <c r="AH25">
        <v>2</v>
      </c>
      <c r="AI25">
        <v>47920693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>
      <c r="A26">
        <f>ROW(Source!A37)</f>
        <v>37</v>
      </c>
      <c r="B26">
        <v>47920708</v>
      </c>
      <c r="C26">
        <v>47920704</v>
      </c>
      <c r="D26">
        <v>9914912</v>
      </c>
      <c r="E26">
        <v>1</v>
      </c>
      <c r="F26">
        <v>1</v>
      </c>
      <c r="G26">
        <v>1</v>
      </c>
      <c r="H26">
        <v>1</v>
      </c>
      <c r="I26" t="s">
        <v>502</v>
      </c>
      <c r="J26" t="s">
        <v>3</v>
      </c>
      <c r="K26" t="s">
        <v>503</v>
      </c>
      <c r="L26">
        <v>1191</v>
      </c>
      <c r="N26">
        <v>1013</v>
      </c>
      <c r="O26" t="s">
        <v>460</v>
      </c>
      <c r="P26" t="s">
        <v>460</v>
      </c>
      <c r="Q26">
        <v>1</v>
      </c>
      <c r="X26">
        <v>40</v>
      </c>
      <c r="Y26">
        <v>0</v>
      </c>
      <c r="Z26">
        <v>0</v>
      </c>
      <c r="AA26">
        <v>0</v>
      </c>
      <c r="AB26">
        <v>7.72</v>
      </c>
      <c r="AC26">
        <v>0</v>
      </c>
      <c r="AD26">
        <v>1</v>
      </c>
      <c r="AE26">
        <v>1</v>
      </c>
      <c r="AF26" t="s">
        <v>66</v>
      </c>
      <c r="AG26">
        <v>55.199999999999996</v>
      </c>
      <c r="AH26">
        <v>2</v>
      </c>
      <c r="AI26">
        <v>47920705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>
      <c r="A27">
        <f>ROW(Source!A37)</f>
        <v>37</v>
      </c>
      <c r="B27">
        <v>47920709</v>
      </c>
      <c r="C27">
        <v>47920704</v>
      </c>
      <c r="D27">
        <v>121548</v>
      </c>
      <c r="E27">
        <v>1</v>
      </c>
      <c r="F27">
        <v>1</v>
      </c>
      <c r="G27">
        <v>1</v>
      </c>
      <c r="H27">
        <v>1</v>
      </c>
      <c r="I27" t="s">
        <v>26</v>
      </c>
      <c r="J27" t="s">
        <v>3</v>
      </c>
      <c r="K27" t="s">
        <v>461</v>
      </c>
      <c r="L27">
        <v>608254</v>
      </c>
      <c r="N27">
        <v>1013</v>
      </c>
      <c r="O27" t="s">
        <v>462</v>
      </c>
      <c r="P27" t="s">
        <v>462</v>
      </c>
      <c r="Q27">
        <v>1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2</v>
      </c>
      <c r="AF27" t="s">
        <v>66</v>
      </c>
      <c r="AG27">
        <v>0</v>
      </c>
      <c r="AH27">
        <v>2</v>
      </c>
      <c r="AI27">
        <v>47920706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>
      <c r="A28">
        <f>ROW(Source!A37)</f>
        <v>37</v>
      </c>
      <c r="B28">
        <v>47920710</v>
      </c>
      <c r="C28">
        <v>47920704</v>
      </c>
      <c r="D28">
        <v>13636924</v>
      </c>
      <c r="E28">
        <v>1</v>
      </c>
      <c r="F28">
        <v>1</v>
      </c>
      <c r="G28">
        <v>1</v>
      </c>
      <c r="H28">
        <v>3</v>
      </c>
      <c r="I28" t="s">
        <v>504</v>
      </c>
      <c r="J28" t="s">
        <v>505</v>
      </c>
      <c r="K28" t="s">
        <v>506</v>
      </c>
      <c r="L28">
        <v>1339</v>
      </c>
      <c r="N28">
        <v>1007</v>
      </c>
      <c r="O28" t="s">
        <v>298</v>
      </c>
      <c r="P28" t="s">
        <v>298</v>
      </c>
      <c r="Q28">
        <v>1</v>
      </c>
      <c r="X28">
        <v>15</v>
      </c>
      <c r="Y28">
        <v>129.37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15</v>
      </c>
      <c r="AH28">
        <v>2</v>
      </c>
      <c r="AI28">
        <v>47920707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>
      <c r="A29">
        <f>ROW(Source!A38)</f>
        <v>38</v>
      </c>
      <c r="B29">
        <v>47920715</v>
      </c>
      <c r="C29">
        <v>47920711</v>
      </c>
      <c r="D29">
        <v>9914912</v>
      </c>
      <c r="E29">
        <v>1</v>
      </c>
      <c r="F29">
        <v>1</v>
      </c>
      <c r="G29">
        <v>1</v>
      </c>
      <c r="H29">
        <v>1</v>
      </c>
      <c r="I29" t="s">
        <v>502</v>
      </c>
      <c r="J29" t="s">
        <v>3</v>
      </c>
      <c r="K29" t="s">
        <v>503</v>
      </c>
      <c r="L29">
        <v>1191</v>
      </c>
      <c r="N29">
        <v>1013</v>
      </c>
      <c r="O29" t="s">
        <v>460</v>
      </c>
      <c r="P29" t="s">
        <v>460</v>
      </c>
      <c r="Q29">
        <v>1</v>
      </c>
      <c r="X29">
        <v>5.47</v>
      </c>
      <c r="Y29">
        <v>0</v>
      </c>
      <c r="Z29">
        <v>0</v>
      </c>
      <c r="AA29">
        <v>0</v>
      </c>
      <c r="AB29">
        <v>7.72</v>
      </c>
      <c r="AC29">
        <v>0</v>
      </c>
      <c r="AD29">
        <v>1</v>
      </c>
      <c r="AE29">
        <v>1</v>
      </c>
      <c r="AF29" t="s">
        <v>20</v>
      </c>
      <c r="AG29">
        <v>7.5485999999999986</v>
      </c>
      <c r="AH29">
        <v>2</v>
      </c>
      <c r="AI29">
        <v>47920712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>
      <c r="A30">
        <f>ROW(Source!A38)</f>
        <v>38</v>
      </c>
      <c r="B30">
        <v>47920716</v>
      </c>
      <c r="C30">
        <v>47920711</v>
      </c>
      <c r="D30">
        <v>121548</v>
      </c>
      <c r="E30">
        <v>1</v>
      </c>
      <c r="F30">
        <v>1</v>
      </c>
      <c r="G30">
        <v>1</v>
      </c>
      <c r="H30">
        <v>1</v>
      </c>
      <c r="I30" t="s">
        <v>26</v>
      </c>
      <c r="J30" t="s">
        <v>3</v>
      </c>
      <c r="K30" t="s">
        <v>461</v>
      </c>
      <c r="L30">
        <v>608254</v>
      </c>
      <c r="N30">
        <v>1013</v>
      </c>
      <c r="O30" t="s">
        <v>462</v>
      </c>
      <c r="P30" t="s">
        <v>462</v>
      </c>
      <c r="Q30">
        <v>1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2</v>
      </c>
      <c r="AF30" t="s">
        <v>20</v>
      </c>
      <c r="AG30">
        <v>0</v>
      </c>
      <c r="AH30">
        <v>2</v>
      </c>
      <c r="AI30">
        <v>47920713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>
      <c r="A31">
        <f>ROW(Source!A38)</f>
        <v>38</v>
      </c>
      <c r="B31">
        <v>47920717</v>
      </c>
      <c r="C31">
        <v>47920711</v>
      </c>
      <c r="D31">
        <v>13636924</v>
      </c>
      <c r="E31">
        <v>1</v>
      </c>
      <c r="F31">
        <v>1</v>
      </c>
      <c r="G31">
        <v>1</v>
      </c>
      <c r="H31">
        <v>3</v>
      </c>
      <c r="I31" t="s">
        <v>504</v>
      </c>
      <c r="J31" t="s">
        <v>505</v>
      </c>
      <c r="K31" t="s">
        <v>506</v>
      </c>
      <c r="L31">
        <v>1339</v>
      </c>
      <c r="N31">
        <v>1007</v>
      </c>
      <c r="O31" t="s">
        <v>298</v>
      </c>
      <c r="P31" t="s">
        <v>298</v>
      </c>
      <c r="Q31">
        <v>1</v>
      </c>
      <c r="X31">
        <v>5</v>
      </c>
      <c r="Y31">
        <v>129.37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5</v>
      </c>
      <c r="AH31">
        <v>2</v>
      </c>
      <c r="AI31">
        <v>47920714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>
      <c r="A32">
        <f>ROW(Source!A83)</f>
        <v>83</v>
      </c>
      <c r="B32">
        <v>47920723</v>
      </c>
      <c r="C32">
        <v>47920718</v>
      </c>
      <c r="D32">
        <v>9915120</v>
      </c>
      <c r="E32">
        <v>1</v>
      </c>
      <c r="F32">
        <v>1</v>
      </c>
      <c r="G32">
        <v>1</v>
      </c>
      <c r="H32">
        <v>1</v>
      </c>
      <c r="I32" t="s">
        <v>507</v>
      </c>
      <c r="J32" t="s">
        <v>3</v>
      </c>
      <c r="K32" t="s">
        <v>508</v>
      </c>
      <c r="L32">
        <v>1191</v>
      </c>
      <c r="N32">
        <v>1013</v>
      </c>
      <c r="O32" t="s">
        <v>460</v>
      </c>
      <c r="P32" t="s">
        <v>460</v>
      </c>
      <c r="Q32">
        <v>1</v>
      </c>
      <c r="X32">
        <v>5.3</v>
      </c>
      <c r="Y32">
        <v>0</v>
      </c>
      <c r="Z32">
        <v>0</v>
      </c>
      <c r="AA32">
        <v>0</v>
      </c>
      <c r="AB32">
        <v>9.35</v>
      </c>
      <c r="AC32">
        <v>0</v>
      </c>
      <c r="AD32">
        <v>1</v>
      </c>
      <c r="AE32">
        <v>1</v>
      </c>
      <c r="AF32" t="s">
        <v>20</v>
      </c>
      <c r="AG32">
        <v>7.3139999999999992</v>
      </c>
      <c r="AH32">
        <v>2</v>
      </c>
      <c r="AI32">
        <v>47920719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>
      <c r="A33">
        <f>ROW(Source!A83)</f>
        <v>83</v>
      </c>
      <c r="B33">
        <v>47920724</v>
      </c>
      <c r="C33">
        <v>47920718</v>
      </c>
      <c r="D33">
        <v>121548</v>
      </c>
      <c r="E33">
        <v>1</v>
      </c>
      <c r="F33">
        <v>1</v>
      </c>
      <c r="G33">
        <v>1</v>
      </c>
      <c r="H33">
        <v>1</v>
      </c>
      <c r="I33" t="s">
        <v>26</v>
      </c>
      <c r="J33" t="s">
        <v>3</v>
      </c>
      <c r="K33" t="s">
        <v>461</v>
      </c>
      <c r="L33">
        <v>608254</v>
      </c>
      <c r="N33">
        <v>1013</v>
      </c>
      <c r="O33" t="s">
        <v>462</v>
      </c>
      <c r="P33" t="s">
        <v>462</v>
      </c>
      <c r="Q33">
        <v>1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2</v>
      </c>
      <c r="AF33" t="s">
        <v>20</v>
      </c>
      <c r="AG33">
        <v>0</v>
      </c>
      <c r="AH33">
        <v>2</v>
      </c>
      <c r="AI33">
        <v>47920720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>
      <c r="A34">
        <f>ROW(Source!A83)</f>
        <v>83</v>
      </c>
      <c r="B34">
        <v>47920725</v>
      </c>
      <c r="C34">
        <v>47920718</v>
      </c>
      <c r="D34">
        <v>13556983</v>
      </c>
      <c r="E34">
        <v>1</v>
      </c>
      <c r="F34">
        <v>1</v>
      </c>
      <c r="G34">
        <v>1</v>
      </c>
      <c r="H34">
        <v>2</v>
      </c>
      <c r="I34" t="s">
        <v>489</v>
      </c>
      <c r="J34" t="s">
        <v>490</v>
      </c>
      <c r="K34" t="s">
        <v>491</v>
      </c>
      <c r="L34">
        <v>1368</v>
      </c>
      <c r="N34">
        <v>1011</v>
      </c>
      <c r="O34" t="s">
        <v>468</v>
      </c>
      <c r="P34" t="s">
        <v>468</v>
      </c>
      <c r="Q34">
        <v>1</v>
      </c>
      <c r="X34">
        <v>3.9</v>
      </c>
      <c r="Y34">
        <v>0</v>
      </c>
      <c r="Z34">
        <v>80.75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20</v>
      </c>
      <c r="AG34">
        <v>5.3819999999999997</v>
      </c>
      <c r="AH34">
        <v>2</v>
      </c>
      <c r="AI34">
        <v>47920721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>
      <c r="A35">
        <f>ROW(Source!A83)</f>
        <v>83</v>
      </c>
      <c r="B35">
        <v>47920726</v>
      </c>
      <c r="C35">
        <v>47920718</v>
      </c>
      <c r="D35">
        <v>13758332</v>
      </c>
      <c r="E35">
        <v>1</v>
      </c>
      <c r="F35">
        <v>1</v>
      </c>
      <c r="G35">
        <v>1</v>
      </c>
      <c r="H35">
        <v>3</v>
      </c>
      <c r="I35" t="s">
        <v>509</v>
      </c>
      <c r="J35" t="s">
        <v>510</v>
      </c>
      <c r="K35" t="s">
        <v>511</v>
      </c>
      <c r="L35">
        <v>1374</v>
      </c>
      <c r="N35">
        <v>1013</v>
      </c>
      <c r="O35" t="s">
        <v>512</v>
      </c>
      <c r="P35" t="s">
        <v>512</v>
      </c>
      <c r="Q35">
        <v>1</v>
      </c>
      <c r="X35">
        <v>0.99</v>
      </c>
      <c r="Y35">
        <v>1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3</v>
      </c>
      <c r="AG35">
        <v>0.99</v>
      </c>
      <c r="AH35">
        <v>2</v>
      </c>
      <c r="AI35">
        <v>47920722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>
      <c r="A36">
        <f>ROW(Source!A84)</f>
        <v>84</v>
      </c>
      <c r="B36">
        <v>47920732</v>
      </c>
      <c r="C36">
        <v>47920727</v>
      </c>
      <c r="D36">
        <v>9915120</v>
      </c>
      <c r="E36">
        <v>1</v>
      </c>
      <c r="F36">
        <v>1</v>
      </c>
      <c r="G36">
        <v>1</v>
      </c>
      <c r="H36">
        <v>1</v>
      </c>
      <c r="I36" t="s">
        <v>507</v>
      </c>
      <c r="J36" t="s">
        <v>3</v>
      </c>
      <c r="K36" t="s">
        <v>508</v>
      </c>
      <c r="L36">
        <v>1191</v>
      </c>
      <c r="N36">
        <v>1013</v>
      </c>
      <c r="O36" t="s">
        <v>460</v>
      </c>
      <c r="P36" t="s">
        <v>460</v>
      </c>
      <c r="Q36">
        <v>1</v>
      </c>
      <c r="X36">
        <v>1.99</v>
      </c>
      <c r="Y36">
        <v>0</v>
      </c>
      <c r="Z36">
        <v>0</v>
      </c>
      <c r="AA36">
        <v>0</v>
      </c>
      <c r="AB36">
        <v>9.35</v>
      </c>
      <c r="AC36">
        <v>0</v>
      </c>
      <c r="AD36">
        <v>1</v>
      </c>
      <c r="AE36">
        <v>1</v>
      </c>
      <c r="AF36" t="s">
        <v>20</v>
      </c>
      <c r="AG36">
        <v>2.7461999999999995</v>
      </c>
      <c r="AH36">
        <v>2</v>
      </c>
      <c r="AI36">
        <v>47920728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>
      <c r="A37">
        <f>ROW(Source!A84)</f>
        <v>84</v>
      </c>
      <c r="B37">
        <v>47920733</v>
      </c>
      <c r="C37">
        <v>47920727</v>
      </c>
      <c r="D37">
        <v>121548</v>
      </c>
      <c r="E37">
        <v>1</v>
      </c>
      <c r="F37">
        <v>1</v>
      </c>
      <c r="G37">
        <v>1</v>
      </c>
      <c r="H37">
        <v>1</v>
      </c>
      <c r="I37" t="s">
        <v>26</v>
      </c>
      <c r="J37" t="s">
        <v>3</v>
      </c>
      <c r="K37" t="s">
        <v>461</v>
      </c>
      <c r="L37">
        <v>608254</v>
      </c>
      <c r="N37">
        <v>1013</v>
      </c>
      <c r="O37" t="s">
        <v>462</v>
      </c>
      <c r="P37" t="s">
        <v>462</v>
      </c>
      <c r="Q37">
        <v>1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2</v>
      </c>
      <c r="AF37" t="s">
        <v>20</v>
      </c>
      <c r="AG37">
        <v>0</v>
      </c>
      <c r="AH37">
        <v>2</v>
      </c>
      <c r="AI37">
        <v>47920729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>
      <c r="A38">
        <f>ROW(Source!A84)</f>
        <v>84</v>
      </c>
      <c r="B38">
        <v>47920734</v>
      </c>
      <c r="C38">
        <v>47920727</v>
      </c>
      <c r="D38">
        <v>13556983</v>
      </c>
      <c r="E38">
        <v>1</v>
      </c>
      <c r="F38">
        <v>1</v>
      </c>
      <c r="G38">
        <v>1</v>
      </c>
      <c r="H38">
        <v>2</v>
      </c>
      <c r="I38" t="s">
        <v>489</v>
      </c>
      <c r="J38" t="s">
        <v>490</v>
      </c>
      <c r="K38" t="s">
        <v>491</v>
      </c>
      <c r="L38">
        <v>1368</v>
      </c>
      <c r="N38">
        <v>1011</v>
      </c>
      <c r="O38" t="s">
        <v>468</v>
      </c>
      <c r="P38" t="s">
        <v>468</v>
      </c>
      <c r="Q38">
        <v>1</v>
      </c>
      <c r="X38">
        <v>0.08</v>
      </c>
      <c r="Y38">
        <v>0</v>
      </c>
      <c r="Z38">
        <v>80.75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20</v>
      </c>
      <c r="AG38">
        <v>0.1104</v>
      </c>
      <c r="AH38">
        <v>2</v>
      </c>
      <c r="AI38">
        <v>47920730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>
      <c r="A39">
        <f>ROW(Source!A84)</f>
        <v>84</v>
      </c>
      <c r="B39">
        <v>47920735</v>
      </c>
      <c r="C39">
        <v>47920727</v>
      </c>
      <c r="D39">
        <v>13758332</v>
      </c>
      <c r="E39">
        <v>1</v>
      </c>
      <c r="F39">
        <v>1</v>
      </c>
      <c r="G39">
        <v>1</v>
      </c>
      <c r="H39">
        <v>3</v>
      </c>
      <c r="I39" t="s">
        <v>509</v>
      </c>
      <c r="J39" t="s">
        <v>510</v>
      </c>
      <c r="K39" t="s">
        <v>511</v>
      </c>
      <c r="L39">
        <v>1374</v>
      </c>
      <c r="N39">
        <v>1013</v>
      </c>
      <c r="O39" t="s">
        <v>512</v>
      </c>
      <c r="P39" t="s">
        <v>512</v>
      </c>
      <c r="Q39">
        <v>1</v>
      </c>
      <c r="X39">
        <v>0.37</v>
      </c>
      <c r="Y39">
        <v>1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0.37</v>
      </c>
      <c r="AH39">
        <v>2</v>
      </c>
      <c r="AI39">
        <v>47920731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>
      <c r="A40">
        <f>ROW(Source!A85)</f>
        <v>85</v>
      </c>
      <c r="B40">
        <v>47920742</v>
      </c>
      <c r="C40">
        <v>47920736</v>
      </c>
      <c r="D40">
        <v>9915120</v>
      </c>
      <c r="E40">
        <v>1</v>
      </c>
      <c r="F40">
        <v>1</v>
      </c>
      <c r="G40">
        <v>1</v>
      </c>
      <c r="H40">
        <v>1</v>
      </c>
      <c r="I40" t="s">
        <v>507</v>
      </c>
      <c r="J40" t="s">
        <v>3</v>
      </c>
      <c r="K40" t="s">
        <v>508</v>
      </c>
      <c r="L40">
        <v>1191</v>
      </c>
      <c r="N40">
        <v>1013</v>
      </c>
      <c r="O40" t="s">
        <v>460</v>
      </c>
      <c r="P40" t="s">
        <v>460</v>
      </c>
      <c r="Q40">
        <v>1</v>
      </c>
      <c r="X40">
        <v>5.21</v>
      </c>
      <c r="Y40">
        <v>0</v>
      </c>
      <c r="Z40">
        <v>0</v>
      </c>
      <c r="AA40">
        <v>0</v>
      </c>
      <c r="AB40">
        <v>9.35</v>
      </c>
      <c r="AC40">
        <v>0</v>
      </c>
      <c r="AD40">
        <v>1</v>
      </c>
      <c r="AE40">
        <v>1</v>
      </c>
      <c r="AF40" t="s">
        <v>20</v>
      </c>
      <c r="AG40">
        <v>7.1897999999999991</v>
      </c>
      <c r="AH40">
        <v>2</v>
      </c>
      <c r="AI40">
        <v>47920737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>
      <c r="A41">
        <f>ROW(Source!A85)</f>
        <v>85</v>
      </c>
      <c r="B41">
        <v>47920743</v>
      </c>
      <c r="C41">
        <v>47920736</v>
      </c>
      <c r="D41">
        <v>121548</v>
      </c>
      <c r="E41">
        <v>1</v>
      </c>
      <c r="F41">
        <v>1</v>
      </c>
      <c r="G41">
        <v>1</v>
      </c>
      <c r="H41">
        <v>1</v>
      </c>
      <c r="I41" t="s">
        <v>26</v>
      </c>
      <c r="J41" t="s">
        <v>3</v>
      </c>
      <c r="K41" t="s">
        <v>461</v>
      </c>
      <c r="L41">
        <v>608254</v>
      </c>
      <c r="N41">
        <v>1013</v>
      </c>
      <c r="O41" t="s">
        <v>462</v>
      </c>
      <c r="P41" t="s">
        <v>462</v>
      </c>
      <c r="Q41">
        <v>1</v>
      </c>
      <c r="X41">
        <v>1.73</v>
      </c>
      <c r="Y41">
        <v>0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2</v>
      </c>
      <c r="AF41" t="s">
        <v>20</v>
      </c>
      <c r="AG41">
        <v>2.3874</v>
      </c>
      <c r="AH41">
        <v>2</v>
      </c>
      <c r="AI41">
        <v>47920738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>
      <c r="A42">
        <f>ROW(Source!A85)</f>
        <v>85</v>
      </c>
      <c r="B42">
        <v>47920744</v>
      </c>
      <c r="C42">
        <v>47920736</v>
      </c>
      <c r="D42">
        <v>13554551</v>
      </c>
      <c r="E42">
        <v>1</v>
      </c>
      <c r="F42">
        <v>1</v>
      </c>
      <c r="G42">
        <v>1</v>
      </c>
      <c r="H42">
        <v>2</v>
      </c>
      <c r="I42" t="s">
        <v>513</v>
      </c>
      <c r="J42" t="s">
        <v>514</v>
      </c>
      <c r="K42" t="s">
        <v>515</v>
      </c>
      <c r="L42">
        <v>1368</v>
      </c>
      <c r="N42">
        <v>1011</v>
      </c>
      <c r="O42" t="s">
        <v>468</v>
      </c>
      <c r="P42" t="s">
        <v>468</v>
      </c>
      <c r="Q42">
        <v>1</v>
      </c>
      <c r="X42">
        <v>1.73</v>
      </c>
      <c r="Y42">
        <v>0</v>
      </c>
      <c r="Z42">
        <v>156.72</v>
      </c>
      <c r="AA42">
        <v>13.12</v>
      </c>
      <c r="AB42">
        <v>0</v>
      </c>
      <c r="AC42">
        <v>0</v>
      </c>
      <c r="AD42">
        <v>1</v>
      </c>
      <c r="AE42">
        <v>0</v>
      </c>
      <c r="AF42" t="s">
        <v>20</v>
      </c>
      <c r="AG42">
        <v>2.3874</v>
      </c>
      <c r="AH42">
        <v>2</v>
      </c>
      <c r="AI42">
        <v>47920739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>
      <c r="A43">
        <f>ROW(Source!A85)</f>
        <v>85</v>
      </c>
      <c r="B43">
        <v>47920745</v>
      </c>
      <c r="C43">
        <v>47920736</v>
      </c>
      <c r="D43">
        <v>13556983</v>
      </c>
      <c r="E43">
        <v>1</v>
      </c>
      <c r="F43">
        <v>1</v>
      </c>
      <c r="G43">
        <v>1</v>
      </c>
      <c r="H43">
        <v>2</v>
      </c>
      <c r="I43" t="s">
        <v>489</v>
      </c>
      <c r="J43" t="s">
        <v>490</v>
      </c>
      <c r="K43" t="s">
        <v>491</v>
      </c>
      <c r="L43">
        <v>1368</v>
      </c>
      <c r="N43">
        <v>1011</v>
      </c>
      <c r="O43" t="s">
        <v>468</v>
      </c>
      <c r="P43" t="s">
        <v>468</v>
      </c>
      <c r="Q43">
        <v>1</v>
      </c>
      <c r="X43">
        <v>1.73</v>
      </c>
      <c r="Y43">
        <v>0</v>
      </c>
      <c r="Z43">
        <v>80.75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20</v>
      </c>
      <c r="AG43">
        <v>2.3874</v>
      </c>
      <c r="AH43">
        <v>2</v>
      </c>
      <c r="AI43">
        <v>47920740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>
      <c r="A44">
        <f>ROW(Source!A85)</f>
        <v>85</v>
      </c>
      <c r="B44">
        <v>47920746</v>
      </c>
      <c r="C44">
        <v>47920736</v>
      </c>
      <c r="D44">
        <v>13758332</v>
      </c>
      <c r="E44">
        <v>1</v>
      </c>
      <c r="F44">
        <v>1</v>
      </c>
      <c r="G44">
        <v>1</v>
      </c>
      <c r="H44">
        <v>3</v>
      </c>
      <c r="I44" t="s">
        <v>509</v>
      </c>
      <c r="J44" t="s">
        <v>510</v>
      </c>
      <c r="K44" t="s">
        <v>511</v>
      </c>
      <c r="L44">
        <v>1374</v>
      </c>
      <c r="N44">
        <v>1013</v>
      </c>
      <c r="O44" t="s">
        <v>512</v>
      </c>
      <c r="P44" t="s">
        <v>512</v>
      </c>
      <c r="Q44">
        <v>1</v>
      </c>
      <c r="X44">
        <v>0.97</v>
      </c>
      <c r="Y44">
        <v>1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3</v>
      </c>
      <c r="AG44">
        <v>0.97</v>
      </c>
      <c r="AH44">
        <v>2</v>
      </c>
      <c r="AI44">
        <v>47920741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>
      <c r="A45">
        <f>ROW(Source!A86)</f>
        <v>86</v>
      </c>
      <c r="B45">
        <v>47920753</v>
      </c>
      <c r="C45">
        <v>47920747</v>
      </c>
      <c r="D45">
        <v>9915120</v>
      </c>
      <c r="E45">
        <v>1</v>
      </c>
      <c r="F45">
        <v>1</v>
      </c>
      <c r="G45">
        <v>1</v>
      </c>
      <c r="H45">
        <v>1</v>
      </c>
      <c r="I45" t="s">
        <v>507</v>
      </c>
      <c r="J45" t="s">
        <v>3</v>
      </c>
      <c r="K45" t="s">
        <v>508</v>
      </c>
      <c r="L45">
        <v>1191</v>
      </c>
      <c r="N45">
        <v>1013</v>
      </c>
      <c r="O45" t="s">
        <v>460</v>
      </c>
      <c r="P45" t="s">
        <v>460</v>
      </c>
      <c r="Q45">
        <v>1</v>
      </c>
      <c r="X45">
        <v>2.72</v>
      </c>
      <c r="Y45">
        <v>0</v>
      </c>
      <c r="Z45">
        <v>0</v>
      </c>
      <c r="AA45">
        <v>0</v>
      </c>
      <c r="AB45">
        <v>9.35</v>
      </c>
      <c r="AC45">
        <v>0</v>
      </c>
      <c r="AD45">
        <v>1</v>
      </c>
      <c r="AE45">
        <v>1</v>
      </c>
      <c r="AF45" t="s">
        <v>20</v>
      </c>
      <c r="AG45">
        <v>3.7536</v>
      </c>
      <c r="AH45">
        <v>2</v>
      </c>
      <c r="AI45">
        <v>47920748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>
      <c r="A46">
        <f>ROW(Source!A86)</f>
        <v>86</v>
      </c>
      <c r="B46">
        <v>47920754</v>
      </c>
      <c r="C46">
        <v>47920747</v>
      </c>
      <c r="D46">
        <v>121548</v>
      </c>
      <c r="E46">
        <v>1</v>
      </c>
      <c r="F46">
        <v>1</v>
      </c>
      <c r="G46">
        <v>1</v>
      </c>
      <c r="H46">
        <v>1</v>
      </c>
      <c r="I46" t="s">
        <v>26</v>
      </c>
      <c r="J46" t="s">
        <v>3</v>
      </c>
      <c r="K46" t="s">
        <v>461</v>
      </c>
      <c r="L46">
        <v>608254</v>
      </c>
      <c r="N46">
        <v>1013</v>
      </c>
      <c r="O46" t="s">
        <v>462</v>
      </c>
      <c r="P46" t="s">
        <v>462</v>
      </c>
      <c r="Q46">
        <v>1</v>
      </c>
      <c r="X46">
        <v>0.91</v>
      </c>
      <c r="Y46">
        <v>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2</v>
      </c>
      <c r="AF46" t="s">
        <v>20</v>
      </c>
      <c r="AG46">
        <v>1.2558</v>
      </c>
      <c r="AH46">
        <v>2</v>
      </c>
      <c r="AI46">
        <v>47920749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>
      <c r="A47">
        <f>ROW(Source!A86)</f>
        <v>86</v>
      </c>
      <c r="B47">
        <v>47920755</v>
      </c>
      <c r="C47">
        <v>47920747</v>
      </c>
      <c r="D47">
        <v>13554551</v>
      </c>
      <c r="E47">
        <v>1</v>
      </c>
      <c r="F47">
        <v>1</v>
      </c>
      <c r="G47">
        <v>1</v>
      </c>
      <c r="H47">
        <v>2</v>
      </c>
      <c r="I47" t="s">
        <v>513</v>
      </c>
      <c r="J47" t="s">
        <v>514</v>
      </c>
      <c r="K47" t="s">
        <v>515</v>
      </c>
      <c r="L47">
        <v>1368</v>
      </c>
      <c r="N47">
        <v>1011</v>
      </c>
      <c r="O47" t="s">
        <v>468</v>
      </c>
      <c r="P47" t="s">
        <v>468</v>
      </c>
      <c r="Q47">
        <v>1</v>
      </c>
      <c r="X47">
        <v>0.91</v>
      </c>
      <c r="Y47">
        <v>0</v>
      </c>
      <c r="Z47">
        <v>156.72</v>
      </c>
      <c r="AA47">
        <v>13.12</v>
      </c>
      <c r="AB47">
        <v>0</v>
      </c>
      <c r="AC47">
        <v>0</v>
      </c>
      <c r="AD47">
        <v>1</v>
      </c>
      <c r="AE47">
        <v>0</v>
      </c>
      <c r="AF47" t="s">
        <v>20</v>
      </c>
      <c r="AG47">
        <v>1.2558</v>
      </c>
      <c r="AH47">
        <v>2</v>
      </c>
      <c r="AI47">
        <v>47920750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>
      <c r="A48">
        <f>ROW(Source!A86)</f>
        <v>86</v>
      </c>
      <c r="B48">
        <v>47920756</v>
      </c>
      <c r="C48">
        <v>47920747</v>
      </c>
      <c r="D48">
        <v>13556983</v>
      </c>
      <c r="E48">
        <v>1</v>
      </c>
      <c r="F48">
        <v>1</v>
      </c>
      <c r="G48">
        <v>1</v>
      </c>
      <c r="H48">
        <v>2</v>
      </c>
      <c r="I48" t="s">
        <v>489</v>
      </c>
      <c r="J48" t="s">
        <v>490</v>
      </c>
      <c r="K48" t="s">
        <v>491</v>
      </c>
      <c r="L48">
        <v>1368</v>
      </c>
      <c r="N48">
        <v>1011</v>
      </c>
      <c r="O48" t="s">
        <v>468</v>
      </c>
      <c r="P48" t="s">
        <v>468</v>
      </c>
      <c r="Q48">
        <v>1</v>
      </c>
      <c r="X48">
        <v>0.91</v>
      </c>
      <c r="Y48">
        <v>0</v>
      </c>
      <c r="Z48">
        <v>80.75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20</v>
      </c>
      <c r="AG48">
        <v>1.2558</v>
      </c>
      <c r="AH48">
        <v>2</v>
      </c>
      <c r="AI48">
        <v>47920751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>
      <c r="A49">
        <f>ROW(Source!A86)</f>
        <v>86</v>
      </c>
      <c r="B49">
        <v>47920757</v>
      </c>
      <c r="C49">
        <v>47920747</v>
      </c>
      <c r="D49">
        <v>13758332</v>
      </c>
      <c r="E49">
        <v>1</v>
      </c>
      <c r="F49">
        <v>1</v>
      </c>
      <c r="G49">
        <v>1</v>
      </c>
      <c r="H49">
        <v>3</v>
      </c>
      <c r="I49" t="s">
        <v>509</v>
      </c>
      <c r="J49" t="s">
        <v>510</v>
      </c>
      <c r="K49" t="s">
        <v>511</v>
      </c>
      <c r="L49">
        <v>1374</v>
      </c>
      <c r="N49">
        <v>1013</v>
      </c>
      <c r="O49" t="s">
        <v>512</v>
      </c>
      <c r="P49" t="s">
        <v>512</v>
      </c>
      <c r="Q49">
        <v>1</v>
      </c>
      <c r="X49">
        <v>0.51</v>
      </c>
      <c r="Y49">
        <v>1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0.51</v>
      </c>
      <c r="AH49">
        <v>2</v>
      </c>
      <c r="AI49">
        <v>47920752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>
      <c r="A50">
        <f>ROW(Source!A87)</f>
        <v>87</v>
      </c>
      <c r="B50">
        <v>47920771</v>
      </c>
      <c r="C50">
        <v>47920758</v>
      </c>
      <c r="D50">
        <v>9915120</v>
      </c>
      <c r="E50">
        <v>1</v>
      </c>
      <c r="F50">
        <v>1</v>
      </c>
      <c r="G50">
        <v>1</v>
      </c>
      <c r="H50">
        <v>1</v>
      </c>
      <c r="I50" t="s">
        <v>507</v>
      </c>
      <c r="J50" t="s">
        <v>3</v>
      </c>
      <c r="K50" t="s">
        <v>508</v>
      </c>
      <c r="L50">
        <v>1191</v>
      </c>
      <c r="N50">
        <v>1013</v>
      </c>
      <c r="O50" t="s">
        <v>460</v>
      </c>
      <c r="P50" t="s">
        <v>460</v>
      </c>
      <c r="Q50">
        <v>1</v>
      </c>
      <c r="X50">
        <v>17.440000000000001</v>
      </c>
      <c r="Y50">
        <v>0</v>
      </c>
      <c r="Z50">
        <v>0</v>
      </c>
      <c r="AA50">
        <v>0</v>
      </c>
      <c r="AB50">
        <v>9.35</v>
      </c>
      <c r="AC50">
        <v>0</v>
      </c>
      <c r="AD50">
        <v>1</v>
      </c>
      <c r="AE50">
        <v>1</v>
      </c>
      <c r="AF50" t="s">
        <v>66</v>
      </c>
      <c r="AG50">
        <v>24.0672</v>
      </c>
      <c r="AH50">
        <v>2</v>
      </c>
      <c r="AI50">
        <v>47920759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>
      <c r="A51">
        <f>ROW(Source!A87)</f>
        <v>87</v>
      </c>
      <c r="B51">
        <v>47920772</v>
      </c>
      <c r="C51">
        <v>47920758</v>
      </c>
      <c r="D51">
        <v>121548</v>
      </c>
      <c r="E51">
        <v>1</v>
      </c>
      <c r="F51">
        <v>1</v>
      </c>
      <c r="G51">
        <v>1</v>
      </c>
      <c r="H51">
        <v>1</v>
      </c>
      <c r="I51" t="s">
        <v>26</v>
      </c>
      <c r="J51" t="s">
        <v>3</v>
      </c>
      <c r="K51" t="s">
        <v>461</v>
      </c>
      <c r="L51">
        <v>608254</v>
      </c>
      <c r="N51">
        <v>1013</v>
      </c>
      <c r="O51" t="s">
        <v>462</v>
      </c>
      <c r="P51" t="s">
        <v>462</v>
      </c>
      <c r="Q51">
        <v>1</v>
      </c>
      <c r="X51">
        <v>1.32</v>
      </c>
      <c r="Y51">
        <v>0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2</v>
      </c>
      <c r="AF51" t="s">
        <v>66</v>
      </c>
      <c r="AG51">
        <v>1.8215999999999999</v>
      </c>
      <c r="AH51">
        <v>2</v>
      </c>
      <c r="AI51">
        <v>47920760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>
      <c r="A52">
        <f>ROW(Source!A87)</f>
        <v>87</v>
      </c>
      <c r="B52">
        <v>47920773</v>
      </c>
      <c r="C52">
        <v>47920758</v>
      </c>
      <c r="D52">
        <v>13554551</v>
      </c>
      <c r="E52">
        <v>1</v>
      </c>
      <c r="F52">
        <v>1</v>
      </c>
      <c r="G52">
        <v>1</v>
      </c>
      <c r="H52">
        <v>2</v>
      </c>
      <c r="I52" t="s">
        <v>513</v>
      </c>
      <c r="J52" t="s">
        <v>514</v>
      </c>
      <c r="K52" t="s">
        <v>515</v>
      </c>
      <c r="L52">
        <v>1368</v>
      </c>
      <c r="N52">
        <v>1011</v>
      </c>
      <c r="O52" t="s">
        <v>468</v>
      </c>
      <c r="P52" t="s">
        <v>468</v>
      </c>
      <c r="Q52">
        <v>1</v>
      </c>
      <c r="X52">
        <v>1.32</v>
      </c>
      <c r="Y52">
        <v>0</v>
      </c>
      <c r="Z52">
        <v>156.72</v>
      </c>
      <c r="AA52">
        <v>13.12</v>
      </c>
      <c r="AB52">
        <v>0</v>
      </c>
      <c r="AC52">
        <v>0</v>
      </c>
      <c r="AD52">
        <v>1</v>
      </c>
      <c r="AE52">
        <v>0</v>
      </c>
      <c r="AF52" t="s">
        <v>66</v>
      </c>
      <c r="AG52">
        <v>1.8215999999999999</v>
      </c>
      <c r="AH52">
        <v>2</v>
      </c>
      <c r="AI52">
        <v>47920761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>
      <c r="A53">
        <f>ROW(Source!A87)</f>
        <v>87</v>
      </c>
      <c r="B53">
        <v>47920774</v>
      </c>
      <c r="C53">
        <v>47920758</v>
      </c>
      <c r="D53">
        <v>13554657</v>
      </c>
      <c r="E53">
        <v>1</v>
      </c>
      <c r="F53">
        <v>1</v>
      </c>
      <c r="G53">
        <v>1</v>
      </c>
      <c r="H53">
        <v>2</v>
      </c>
      <c r="I53" t="s">
        <v>516</v>
      </c>
      <c r="J53" t="s">
        <v>517</v>
      </c>
      <c r="K53" t="s">
        <v>518</v>
      </c>
      <c r="L53">
        <v>1368</v>
      </c>
      <c r="N53">
        <v>1011</v>
      </c>
      <c r="O53" t="s">
        <v>468</v>
      </c>
      <c r="P53" t="s">
        <v>468</v>
      </c>
      <c r="Q53">
        <v>1</v>
      </c>
      <c r="X53">
        <v>3.97</v>
      </c>
      <c r="Y53">
        <v>0</v>
      </c>
      <c r="Z53">
        <v>2.7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66</v>
      </c>
      <c r="AG53">
        <v>5.4786000000000001</v>
      </c>
      <c r="AH53">
        <v>2</v>
      </c>
      <c r="AI53">
        <v>47920762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>
      <c r="A54">
        <f>ROW(Source!A87)</f>
        <v>87</v>
      </c>
      <c r="B54">
        <v>47920775</v>
      </c>
      <c r="C54">
        <v>47920758</v>
      </c>
      <c r="D54">
        <v>13554676</v>
      </c>
      <c r="E54">
        <v>1</v>
      </c>
      <c r="F54">
        <v>1</v>
      </c>
      <c r="G54">
        <v>1</v>
      </c>
      <c r="H54">
        <v>2</v>
      </c>
      <c r="I54" t="s">
        <v>519</v>
      </c>
      <c r="J54" t="s">
        <v>520</v>
      </c>
      <c r="K54" t="s">
        <v>521</v>
      </c>
      <c r="L54">
        <v>1368</v>
      </c>
      <c r="N54">
        <v>1011</v>
      </c>
      <c r="O54" t="s">
        <v>468</v>
      </c>
      <c r="P54" t="s">
        <v>468</v>
      </c>
      <c r="Q54">
        <v>1</v>
      </c>
      <c r="X54">
        <v>3.97</v>
      </c>
      <c r="Y54">
        <v>0</v>
      </c>
      <c r="Z54">
        <v>11.64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66</v>
      </c>
      <c r="AG54">
        <v>5.4786000000000001</v>
      </c>
      <c r="AH54">
        <v>2</v>
      </c>
      <c r="AI54">
        <v>47920763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>
      <c r="A55">
        <f>ROW(Source!A87)</f>
        <v>87</v>
      </c>
      <c r="B55">
        <v>47920776</v>
      </c>
      <c r="C55">
        <v>47920758</v>
      </c>
      <c r="D55">
        <v>13556983</v>
      </c>
      <c r="E55">
        <v>1</v>
      </c>
      <c r="F55">
        <v>1</v>
      </c>
      <c r="G55">
        <v>1</v>
      </c>
      <c r="H55">
        <v>2</v>
      </c>
      <c r="I55" t="s">
        <v>489</v>
      </c>
      <c r="J55" t="s">
        <v>490</v>
      </c>
      <c r="K55" t="s">
        <v>491</v>
      </c>
      <c r="L55">
        <v>1368</v>
      </c>
      <c r="N55">
        <v>1011</v>
      </c>
      <c r="O55" t="s">
        <v>468</v>
      </c>
      <c r="P55" t="s">
        <v>468</v>
      </c>
      <c r="Q55">
        <v>1</v>
      </c>
      <c r="X55">
        <v>1.32</v>
      </c>
      <c r="Y55">
        <v>0</v>
      </c>
      <c r="Z55">
        <v>80.75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66</v>
      </c>
      <c r="AG55">
        <v>1.8215999999999999</v>
      </c>
      <c r="AH55">
        <v>2</v>
      </c>
      <c r="AI55">
        <v>47920764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>
      <c r="A56">
        <f>ROW(Source!A87)</f>
        <v>87</v>
      </c>
      <c r="B56">
        <v>47920777</v>
      </c>
      <c r="C56">
        <v>47920758</v>
      </c>
      <c r="D56">
        <v>13560077</v>
      </c>
      <c r="E56">
        <v>1</v>
      </c>
      <c r="F56">
        <v>1</v>
      </c>
      <c r="G56">
        <v>1</v>
      </c>
      <c r="H56">
        <v>3</v>
      </c>
      <c r="I56" t="s">
        <v>522</v>
      </c>
      <c r="J56" t="s">
        <v>523</v>
      </c>
      <c r="K56" t="s">
        <v>524</v>
      </c>
      <c r="L56">
        <v>1348</v>
      </c>
      <c r="N56">
        <v>1009</v>
      </c>
      <c r="O56" t="s">
        <v>337</v>
      </c>
      <c r="P56" t="s">
        <v>337</v>
      </c>
      <c r="Q56">
        <v>1000</v>
      </c>
      <c r="X56">
        <v>0.01</v>
      </c>
      <c r="Y56">
        <v>7928.9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0.01</v>
      </c>
      <c r="AH56">
        <v>2</v>
      </c>
      <c r="AI56">
        <v>47920765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>
      <c r="A57">
        <f>ROW(Source!A87)</f>
        <v>87</v>
      </c>
      <c r="B57">
        <v>47920778</v>
      </c>
      <c r="C57">
        <v>47920758</v>
      </c>
      <c r="D57">
        <v>13560215</v>
      </c>
      <c r="E57">
        <v>1</v>
      </c>
      <c r="F57">
        <v>1</v>
      </c>
      <c r="G57">
        <v>1</v>
      </c>
      <c r="H57">
        <v>3</v>
      </c>
      <c r="I57" t="s">
        <v>525</v>
      </c>
      <c r="J57" t="s">
        <v>526</v>
      </c>
      <c r="K57" t="s">
        <v>527</v>
      </c>
      <c r="L57">
        <v>1348</v>
      </c>
      <c r="N57">
        <v>1009</v>
      </c>
      <c r="O57" t="s">
        <v>337</v>
      </c>
      <c r="P57" t="s">
        <v>337</v>
      </c>
      <c r="Q57">
        <v>1000</v>
      </c>
      <c r="X57">
        <v>1E-3</v>
      </c>
      <c r="Y57">
        <v>6374.01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1E-3</v>
      </c>
      <c r="AH57">
        <v>2</v>
      </c>
      <c r="AI57">
        <v>47920766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>
      <c r="A58">
        <f>ROW(Source!A87)</f>
        <v>87</v>
      </c>
      <c r="B58">
        <v>47920779</v>
      </c>
      <c r="C58">
        <v>47920758</v>
      </c>
      <c r="D58">
        <v>13560628</v>
      </c>
      <c r="E58">
        <v>1</v>
      </c>
      <c r="F58">
        <v>1</v>
      </c>
      <c r="G58">
        <v>1</v>
      </c>
      <c r="H58">
        <v>3</v>
      </c>
      <c r="I58" t="s">
        <v>528</v>
      </c>
      <c r="J58" t="s">
        <v>529</v>
      </c>
      <c r="K58" t="s">
        <v>530</v>
      </c>
      <c r="L58">
        <v>1346</v>
      </c>
      <c r="N58">
        <v>1009</v>
      </c>
      <c r="O58" t="s">
        <v>219</v>
      </c>
      <c r="P58" t="s">
        <v>219</v>
      </c>
      <c r="Q58">
        <v>1</v>
      </c>
      <c r="X58">
        <v>0.25</v>
      </c>
      <c r="Y58">
        <v>28.89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0.25</v>
      </c>
      <c r="AH58">
        <v>2</v>
      </c>
      <c r="AI58">
        <v>47920767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>
      <c r="A59">
        <f>ROW(Source!A87)</f>
        <v>87</v>
      </c>
      <c r="B59">
        <v>47920780</v>
      </c>
      <c r="C59">
        <v>47920758</v>
      </c>
      <c r="D59">
        <v>13561081</v>
      </c>
      <c r="E59">
        <v>1</v>
      </c>
      <c r="F59">
        <v>1</v>
      </c>
      <c r="G59">
        <v>1</v>
      </c>
      <c r="H59">
        <v>3</v>
      </c>
      <c r="I59" t="s">
        <v>531</v>
      </c>
      <c r="J59" t="s">
        <v>532</v>
      </c>
      <c r="K59" t="s">
        <v>533</v>
      </c>
      <c r="L59">
        <v>1308</v>
      </c>
      <c r="N59">
        <v>1003</v>
      </c>
      <c r="O59" t="s">
        <v>534</v>
      </c>
      <c r="P59" t="s">
        <v>534</v>
      </c>
      <c r="Q59">
        <v>100</v>
      </c>
      <c r="X59">
        <v>9.5999999999999992E-3</v>
      </c>
      <c r="Y59">
        <v>115.45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9.5999999999999992E-3</v>
      </c>
      <c r="AH59">
        <v>2</v>
      </c>
      <c r="AI59">
        <v>47920768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>
      <c r="A60">
        <f>ROW(Source!A87)</f>
        <v>87</v>
      </c>
      <c r="B60">
        <v>47920781</v>
      </c>
      <c r="C60">
        <v>47920758</v>
      </c>
      <c r="D60">
        <v>13583498</v>
      </c>
      <c r="E60">
        <v>1</v>
      </c>
      <c r="F60">
        <v>1</v>
      </c>
      <c r="G60">
        <v>1</v>
      </c>
      <c r="H60">
        <v>3</v>
      </c>
      <c r="I60" t="s">
        <v>535</v>
      </c>
      <c r="J60" t="s">
        <v>536</v>
      </c>
      <c r="K60" t="s">
        <v>537</v>
      </c>
      <c r="L60">
        <v>1348</v>
      </c>
      <c r="N60">
        <v>1009</v>
      </c>
      <c r="O60" t="s">
        <v>337</v>
      </c>
      <c r="P60" t="s">
        <v>337</v>
      </c>
      <c r="Q60">
        <v>1000</v>
      </c>
      <c r="X60">
        <v>6.0000000000000002E-5</v>
      </c>
      <c r="Y60">
        <v>9345.32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6.0000000000000002E-5</v>
      </c>
      <c r="AH60">
        <v>2</v>
      </c>
      <c r="AI60">
        <v>47920769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>
      <c r="A61">
        <f>ROW(Source!A87)</f>
        <v>87</v>
      </c>
      <c r="B61">
        <v>47920782</v>
      </c>
      <c r="C61">
        <v>47920758</v>
      </c>
      <c r="D61">
        <v>13758332</v>
      </c>
      <c r="E61">
        <v>1</v>
      </c>
      <c r="F61">
        <v>1</v>
      </c>
      <c r="G61">
        <v>1</v>
      </c>
      <c r="H61">
        <v>3</v>
      </c>
      <c r="I61" t="s">
        <v>509</v>
      </c>
      <c r="J61" t="s">
        <v>510</v>
      </c>
      <c r="K61" t="s">
        <v>511</v>
      </c>
      <c r="L61">
        <v>1374</v>
      </c>
      <c r="N61">
        <v>1013</v>
      </c>
      <c r="O61" t="s">
        <v>512</v>
      </c>
      <c r="P61" t="s">
        <v>512</v>
      </c>
      <c r="Q61">
        <v>1</v>
      </c>
      <c r="X61">
        <v>3.26</v>
      </c>
      <c r="Y61">
        <v>1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3.26</v>
      </c>
      <c r="AH61">
        <v>2</v>
      </c>
      <c r="AI61">
        <v>47920770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>
      <c r="A62">
        <f>ROW(Source!A88)</f>
        <v>88</v>
      </c>
      <c r="B62">
        <v>47920794</v>
      </c>
      <c r="C62">
        <v>47920783</v>
      </c>
      <c r="D62">
        <v>9915120</v>
      </c>
      <c r="E62">
        <v>1</v>
      </c>
      <c r="F62">
        <v>1</v>
      </c>
      <c r="G62">
        <v>1</v>
      </c>
      <c r="H62">
        <v>1</v>
      </c>
      <c r="I62" t="s">
        <v>507</v>
      </c>
      <c r="J62" t="s">
        <v>3</v>
      </c>
      <c r="K62" t="s">
        <v>508</v>
      </c>
      <c r="L62">
        <v>1191</v>
      </c>
      <c r="N62">
        <v>1013</v>
      </c>
      <c r="O62" t="s">
        <v>460</v>
      </c>
      <c r="P62" t="s">
        <v>460</v>
      </c>
      <c r="Q62">
        <v>1</v>
      </c>
      <c r="X62">
        <v>23.04</v>
      </c>
      <c r="Y62">
        <v>0</v>
      </c>
      <c r="Z62">
        <v>0</v>
      </c>
      <c r="AA62">
        <v>0</v>
      </c>
      <c r="AB62">
        <v>9.35</v>
      </c>
      <c r="AC62">
        <v>0</v>
      </c>
      <c r="AD62">
        <v>1</v>
      </c>
      <c r="AE62">
        <v>1</v>
      </c>
      <c r="AF62" t="s">
        <v>20</v>
      </c>
      <c r="AG62">
        <v>31.795199999999998</v>
      </c>
      <c r="AH62">
        <v>2</v>
      </c>
      <c r="AI62">
        <v>47920784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>
      <c r="A63">
        <f>ROW(Source!A88)</f>
        <v>88</v>
      </c>
      <c r="B63">
        <v>47920795</v>
      </c>
      <c r="C63">
        <v>47920783</v>
      </c>
      <c r="D63">
        <v>121548</v>
      </c>
      <c r="E63">
        <v>1</v>
      </c>
      <c r="F63">
        <v>1</v>
      </c>
      <c r="G63">
        <v>1</v>
      </c>
      <c r="H63">
        <v>1</v>
      </c>
      <c r="I63" t="s">
        <v>26</v>
      </c>
      <c r="J63" t="s">
        <v>3</v>
      </c>
      <c r="K63" t="s">
        <v>461</v>
      </c>
      <c r="L63">
        <v>608254</v>
      </c>
      <c r="N63">
        <v>1013</v>
      </c>
      <c r="O63" t="s">
        <v>462</v>
      </c>
      <c r="P63" t="s">
        <v>462</v>
      </c>
      <c r="Q63">
        <v>1</v>
      </c>
      <c r="X63">
        <v>0.2</v>
      </c>
      <c r="Y63">
        <v>0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2</v>
      </c>
      <c r="AF63" t="s">
        <v>20</v>
      </c>
      <c r="AG63">
        <v>0.27599999999999997</v>
      </c>
      <c r="AH63">
        <v>2</v>
      </c>
      <c r="AI63">
        <v>47920785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>
      <c r="A64">
        <f>ROW(Source!A88)</f>
        <v>88</v>
      </c>
      <c r="B64">
        <v>47920796</v>
      </c>
      <c r="C64">
        <v>47920783</v>
      </c>
      <c r="D64">
        <v>13554551</v>
      </c>
      <c r="E64">
        <v>1</v>
      </c>
      <c r="F64">
        <v>1</v>
      </c>
      <c r="G64">
        <v>1</v>
      </c>
      <c r="H64">
        <v>2</v>
      </c>
      <c r="I64" t="s">
        <v>513</v>
      </c>
      <c r="J64" t="s">
        <v>514</v>
      </c>
      <c r="K64" t="s">
        <v>515</v>
      </c>
      <c r="L64">
        <v>1368</v>
      </c>
      <c r="N64">
        <v>1011</v>
      </c>
      <c r="O64" t="s">
        <v>468</v>
      </c>
      <c r="P64" t="s">
        <v>468</v>
      </c>
      <c r="Q64">
        <v>1</v>
      </c>
      <c r="X64">
        <v>0.2</v>
      </c>
      <c r="Y64">
        <v>0</v>
      </c>
      <c r="Z64">
        <v>156.72</v>
      </c>
      <c r="AA64">
        <v>13.12</v>
      </c>
      <c r="AB64">
        <v>0</v>
      </c>
      <c r="AC64">
        <v>0</v>
      </c>
      <c r="AD64">
        <v>1</v>
      </c>
      <c r="AE64">
        <v>0</v>
      </c>
      <c r="AF64" t="s">
        <v>20</v>
      </c>
      <c r="AG64">
        <v>0.27599999999999997</v>
      </c>
      <c r="AH64">
        <v>2</v>
      </c>
      <c r="AI64">
        <v>47920786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>
      <c r="A65">
        <f>ROW(Source!A88)</f>
        <v>88</v>
      </c>
      <c r="B65">
        <v>47920797</v>
      </c>
      <c r="C65">
        <v>47920783</v>
      </c>
      <c r="D65">
        <v>13554657</v>
      </c>
      <c r="E65">
        <v>1</v>
      </c>
      <c r="F65">
        <v>1</v>
      </c>
      <c r="G65">
        <v>1</v>
      </c>
      <c r="H65">
        <v>2</v>
      </c>
      <c r="I65" t="s">
        <v>516</v>
      </c>
      <c r="J65" t="s">
        <v>517</v>
      </c>
      <c r="K65" t="s">
        <v>518</v>
      </c>
      <c r="L65">
        <v>1368</v>
      </c>
      <c r="N65">
        <v>1011</v>
      </c>
      <c r="O65" t="s">
        <v>468</v>
      </c>
      <c r="P65" t="s">
        <v>468</v>
      </c>
      <c r="Q65">
        <v>1</v>
      </c>
      <c r="X65">
        <v>5.14</v>
      </c>
      <c r="Y65">
        <v>0</v>
      </c>
      <c r="Z65">
        <v>2.7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20</v>
      </c>
      <c r="AG65">
        <v>7.0931999999999986</v>
      </c>
      <c r="AH65">
        <v>2</v>
      </c>
      <c r="AI65">
        <v>47920787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>
      <c r="A66">
        <f>ROW(Source!A88)</f>
        <v>88</v>
      </c>
      <c r="B66">
        <v>47920798</v>
      </c>
      <c r="C66">
        <v>47920783</v>
      </c>
      <c r="D66">
        <v>13554676</v>
      </c>
      <c r="E66">
        <v>1</v>
      </c>
      <c r="F66">
        <v>1</v>
      </c>
      <c r="G66">
        <v>1</v>
      </c>
      <c r="H66">
        <v>2</v>
      </c>
      <c r="I66" t="s">
        <v>519</v>
      </c>
      <c r="J66" t="s">
        <v>520</v>
      </c>
      <c r="K66" t="s">
        <v>521</v>
      </c>
      <c r="L66">
        <v>1368</v>
      </c>
      <c r="N66">
        <v>1011</v>
      </c>
      <c r="O66" t="s">
        <v>468</v>
      </c>
      <c r="P66" t="s">
        <v>468</v>
      </c>
      <c r="Q66">
        <v>1</v>
      </c>
      <c r="X66">
        <v>5.14</v>
      </c>
      <c r="Y66">
        <v>0</v>
      </c>
      <c r="Z66">
        <v>11.64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20</v>
      </c>
      <c r="AG66">
        <v>7.0931999999999986</v>
      </c>
      <c r="AH66">
        <v>2</v>
      </c>
      <c r="AI66">
        <v>47920788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>
      <c r="A67">
        <f>ROW(Source!A88)</f>
        <v>88</v>
      </c>
      <c r="B67">
        <v>47920799</v>
      </c>
      <c r="C67">
        <v>47920783</v>
      </c>
      <c r="D67">
        <v>13556983</v>
      </c>
      <c r="E67">
        <v>1</v>
      </c>
      <c r="F67">
        <v>1</v>
      </c>
      <c r="G67">
        <v>1</v>
      </c>
      <c r="H67">
        <v>2</v>
      </c>
      <c r="I67" t="s">
        <v>489</v>
      </c>
      <c r="J67" t="s">
        <v>490</v>
      </c>
      <c r="K67" t="s">
        <v>491</v>
      </c>
      <c r="L67">
        <v>1368</v>
      </c>
      <c r="N67">
        <v>1011</v>
      </c>
      <c r="O67" t="s">
        <v>468</v>
      </c>
      <c r="P67" t="s">
        <v>468</v>
      </c>
      <c r="Q67">
        <v>1</v>
      </c>
      <c r="X67">
        <v>0.2</v>
      </c>
      <c r="Y67">
        <v>0</v>
      </c>
      <c r="Z67">
        <v>80.75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20</v>
      </c>
      <c r="AG67">
        <v>0.27599999999999997</v>
      </c>
      <c r="AH67">
        <v>2</v>
      </c>
      <c r="AI67">
        <v>47920789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>
      <c r="A68">
        <f>ROW(Source!A88)</f>
        <v>88</v>
      </c>
      <c r="B68">
        <v>47920800</v>
      </c>
      <c r="C68">
        <v>47920783</v>
      </c>
      <c r="D68">
        <v>13561081</v>
      </c>
      <c r="E68">
        <v>1</v>
      </c>
      <c r="F68">
        <v>1</v>
      </c>
      <c r="G68">
        <v>1</v>
      </c>
      <c r="H68">
        <v>3</v>
      </c>
      <c r="I68" t="s">
        <v>531</v>
      </c>
      <c r="J68" t="s">
        <v>532</v>
      </c>
      <c r="K68" t="s">
        <v>533</v>
      </c>
      <c r="L68">
        <v>1308</v>
      </c>
      <c r="N68">
        <v>1003</v>
      </c>
      <c r="O68" t="s">
        <v>534</v>
      </c>
      <c r="P68" t="s">
        <v>534</v>
      </c>
      <c r="Q68">
        <v>100</v>
      </c>
      <c r="X68">
        <v>9.5999999999999992E-3</v>
      </c>
      <c r="Y68">
        <v>115.45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9.5999999999999992E-3</v>
      </c>
      <c r="AH68">
        <v>2</v>
      </c>
      <c r="AI68">
        <v>47920790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>
      <c r="A69">
        <f>ROW(Source!A88)</f>
        <v>88</v>
      </c>
      <c r="B69">
        <v>47920801</v>
      </c>
      <c r="C69">
        <v>47920783</v>
      </c>
      <c r="D69">
        <v>13583498</v>
      </c>
      <c r="E69">
        <v>1</v>
      </c>
      <c r="F69">
        <v>1</v>
      </c>
      <c r="G69">
        <v>1</v>
      </c>
      <c r="H69">
        <v>3</v>
      </c>
      <c r="I69" t="s">
        <v>535</v>
      </c>
      <c r="J69" t="s">
        <v>536</v>
      </c>
      <c r="K69" t="s">
        <v>537</v>
      </c>
      <c r="L69">
        <v>1348</v>
      </c>
      <c r="N69">
        <v>1009</v>
      </c>
      <c r="O69" t="s">
        <v>337</v>
      </c>
      <c r="P69" t="s">
        <v>337</v>
      </c>
      <c r="Q69">
        <v>1000</v>
      </c>
      <c r="X69">
        <v>6.0000000000000002E-5</v>
      </c>
      <c r="Y69">
        <v>9345.32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6.0000000000000002E-5</v>
      </c>
      <c r="AH69">
        <v>2</v>
      </c>
      <c r="AI69">
        <v>47920791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>
      <c r="A70">
        <f>ROW(Source!A88)</f>
        <v>88</v>
      </c>
      <c r="B70">
        <v>47920802</v>
      </c>
      <c r="C70">
        <v>47920783</v>
      </c>
      <c r="D70">
        <v>13651198</v>
      </c>
      <c r="E70">
        <v>1</v>
      </c>
      <c r="F70">
        <v>1</v>
      </c>
      <c r="G70">
        <v>1</v>
      </c>
      <c r="H70">
        <v>3</v>
      </c>
      <c r="I70" t="s">
        <v>538</v>
      </c>
      <c r="J70" t="s">
        <v>539</v>
      </c>
      <c r="K70" t="s">
        <v>540</v>
      </c>
      <c r="L70">
        <v>1346</v>
      </c>
      <c r="N70">
        <v>1009</v>
      </c>
      <c r="O70" t="s">
        <v>219</v>
      </c>
      <c r="P70" t="s">
        <v>219</v>
      </c>
      <c r="Q70">
        <v>1</v>
      </c>
      <c r="X70">
        <v>0.5</v>
      </c>
      <c r="Y70">
        <v>65.739999999999995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0.5</v>
      </c>
      <c r="AH70">
        <v>2</v>
      </c>
      <c r="AI70">
        <v>47920792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>
      <c r="A71">
        <f>ROW(Source!A88)</f>
        <v>88</v>
      </c>
      <c r="B71">
        <v>47920803</v>
      </c>
      <c r="C71">
        <v>47920783</v>
      </c>
      <c r="D71">
        <v>13758332</v>
      </c>
      <c r="E71">
        <v>1</v>
      </c>
      <c r="F71">
        <v>1</v>
      </c>
      <c r="G71">
        <v>1</v>
      </c>
      <c r="H71">
        <v>3</v>
      </c>
      <c r="I71" t="s">
        <v>509</v>
      </c>
      <c r="J71" t="s">
        <v>510</v>
      </c>
      <c r="K71" t="s">
        <v>511</v>
      </c>
      <c r="L71">
        <v>1374</v>
      </c>
      <c r="N71">
        <v>1013</v>
      </c>
      <c r="O71" t="s">
        <v>512</v>
      </c>
      <c r="P71" t="s">
        <v>512</v>
      </c>
      <c r="Q71">
        <v>1</v>
      </c>
      <c r="X71">
        <v>4.3099999999999996</v>
      </c>
      <c r="Y71">
        <v>1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4.3099999999999996</v>
      </c>
      <c r="AH71">
        <v>2</v>
      </c>
      <c r="AI71">
        <v>47920793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>
      <c r="A72">
        <f>ROW(Source!A89)</f>
        <v>89</v>
      </c>
      <c r="B72">
        <v>47920816</v>
      </c>
      <c r="C72">
        <v>47920804</v>
      </c>
      <c r="D72">
        <v>9915120</v>
      </c>
      <c r="E72">
        <v>1</v>
      </c>
      <c r="F72">
        <v>1</v>
      </c>
      <c r="G72">
        <v>1</v>
      </c>
      <c r="H72">
        <v>1</v>
      </c>
      <c r="I72" t="s">
        <v>507</v>
      </c>
      <c r="J72" t="s">
        <v>3</v>
      </c>
      <c r="K72" t="s">
        <v>508</v>
      </c>
      <c r="L72">
        <v>1191</v>
      </c>
      <c r="N72">
        <v>1013</v>
      </c>
      <c r="O72" t="s">
        <v>460</v>
      </c>
      <c r="P72" t="s">
        <v>460</v>
      </c>
      <c r="Q72">
        <v>1</v>
      </c>
      <c r="X72">
        <v>29.68</v>
      </c>
      <c r="Y72">
        <v>0</v>
      </c>
      <c r="Z72">
        <v>0</v>
      </c>
      <c r="AA72">
        <v>0</v>
      </c>
      <c r="AB72">
        <v>9.35</v>
      </c>
      <c r="AC72">
        <v>0</v>
      </c>
      <c r="AD72">
        <v>1</v>
      </c>
      <c r="AE72">
        <v>1</v>
      </c>
      <c r="AF72" t="s">
        <v>188</v>
      </c>
      <c r="AG72">
        <v>40.068000000000005</v>
      </c>
      <c r="AH72">
        <v>2</v>
      </c>
      <c r="AI72">
        <v>47920805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>
      <c r="A73">
        <f>ROW(Source!A89)</f>
        <v>89</v>
      </c>
      <c r="B73">
        <v>47920817</v>
      </c>
      <c r="C73">
        <v>47920804</v>
      </c>
      <c r="D73">
        <v>121548</v>
      </c>
      <c r="E73">
        <v>1</v>
      </c>
      <c r="F73">
        <v>1</v>
      </c>
      <c r="G73">
        <v>1</v>
      </c>
      <c r="H73">
        <v>1</v>
      </c>
      <c r="I73" t="s">
        <v>26</v>
      </c>
      <c r="J73" t="s">
        <v>3</v>
      </c>
      <c r="K73" t="s">
        <v>461</v>
      </c>
      <c r="L73">
        <v>608254</v>
      </c>
      <c r="N73">
        <v>1013</v>
      </c>
      <c r="O73" t="s">
        <v>462</v>
      </c>
      <c r="P73" t="s">
        <v>462</v>
      </c>
      <c r="Q73">
        <v>1</v>
      </c>
      <c r="X73">
        <v>0.2</v>
      </c>
      <c r="Y73">
        <v>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2</v>
      </c>
      <c r="AF73" t="s">
        <v>188</v>
      </c>
      <c r="AG73">
        <v>0.27</v>
      </c>
      <c r="AH73">
        <v>2</v>
      </c>
      <c r="AI73">
        <v>47920806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>
      <c r="A74">
        <f>ROW(Source!A89)</f>
        <v>89</v>
      </c>
      <c r="B74">
        <v>47920818</v>
      </c>
      <c r="C74">
        <v>47920804</v>
      </c>
      <c r="D74">
        <v>13554551</v>
      </c>
      <c r="E74">
        <v>1</v>
      </c>
      <c r="F74">
        <v>1</v>
      </c>
      <c r="G74">
        <v>1</v>
      </c>
      <c r="H74">
        <v>2</v>
      </c>
      <c r="I74" t="s">
        <v>513</v>
      </c>
      <c r="J74" t="s">
        <v>514</v>
      </c>
      <c r="K74" t="s">
        <v>515</v>
      </c>
      <c r="L74">
        <v>1368</v>
      </c>
      <c r="N74">
        <v>1011</v>
      </c>
      <c r="O74" t="s">
        <v>468</v>
      </c>
      <c r="P74" t="s">
        <v>468</v>
      </c>
      <c r="Q74">
        <v>1</v>
      </c>
      <c r="X74">
        <v>0.2</v>
      </c>
      <c r="Y74">
        <v>0</v>
      </c>
      <c r="Z74">
        <v>156.72</v>
      </c>
      <c r="AA74">
        <v>13.12</v>
      </c>
      <c r="AB74">
        <v>0</v>
      </c>
      <c r="AC74">
        <v>0</v>
      </c>
      <c r="AD74">
        <v>1</v>
      </c>
      <c r="AE74">
        <v>0</v>
      </c>
      <c r="AF74" t="s">
        <v>188</v>
      </c>
      <c r="AG74">
        <v>0.27</v>
      </c>
      <c r="AH74">
        <v>2</v>
      </c>
      <c r="AI74">
        <v>47920807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>
      <c r="A75">
        <f>ROW(Source!A89)</f>
        <v>89</v>
      </c>
      <c r="B75">
        <v>47920819</v>
      </c>
      <c r="C75">
        <v>47920804</v>
      </c>
      <c r="D75">
        <v>13554657</v>
      </c>
      <c r="E75">
        <v>1</v>
      </c>
      <c r="F75">
        <v>1</v>
      </c>
      <c r="G75">
        <v>1</v>
      </c>
      <c r="H75">
        <v>2</v>
      </c>
      <c r="I75" t="s">
        <v>516</v>
      </c>
      <c r="J75" t="s">
        <v>517</v>
      </c>
      <c r="K75" t="s">
        <v>518</v>
      </c>
      <c r="L75">
        <v>1368</v>
      </c>
      <c r="N75">
        <v>1011</v>
      </c>
      <c r="O75" t="s">
        <v>468</v>
      </c>
      <c r="P75" t="s">
        <v>468</v>
      </c>
      <c r="Q75">
        <v>1</v>
      </c>
      <c r="X75">
        <v>6.9</v>
      </c>
      <c r="Y75">
        <v>0</v>
      </c>
      <c r="Z75">
        <v>2.7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188</v>
      </c>
      <c r="AG75">
        <v>9.3150000000000013</v>
      </c>
      <c r="AH75">
        <v>2</v>
      </c>
      <c r="AI75">
        <v>47920808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>
      <c r="A76">
        <f>ROW(Source!A89)</f>
        <v>89</v>
      </c>
      <c r="B76">
        <v>47920820</v>
      </c>
      <c r="C76">
        <v>47920804</v>
      </c>
      <c r="D76">
        <v>13554676</v>
      </c>
      <c r="E76">
        <v>1</v>
      </c>
      <c r="F76">
        <v>1</v>
      </c>
      <c r="G76">
        <v>1</v>
      </c>
      <c r="H76">
        <v>2</v>
      </c>
      <c r="I76" t="s">
        <v>519</v>
      </c>
      <c r="J76" t="s">
        <v>520</v>
      </c>
      <c r="K76" t="s">
        <v>521</v>
      </c>
      <c r="L76">
        <v>1368</v>
      </c>
      <c r="N76">
        <v>1011</v>
      </c>
      <c r="O76" t="s">
        <v>468</v>
      </c>
      <c r="P76" t="s">
        <v>468</v>
      </c>
      <c r="Q76">
        <v>1</v>
      </c>
      <c r="X76">
        <v>6.9</v>
      </c>
      <c r="Y76">
        <v>0</v>
      </c>
      <c r="Z76">
        <v>11.64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188</v>
      </c>
      <c r="AG76">
        <v>9.3150000000000013</v>
      </c>
      <c r="AH76">
        <v>2</v>
      </c>
      <c r="AI76">
        <v>47920809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>
      <c r="A77">
        <f>ROW(Source!A89)</f>
        <v>89</v>
      </c>
      <c r="B77">
        <v>47920821</v>
      </c>
      <c r="C77">
        <v>47920804</v>
      </c>
      <c r="D77">
        <v>13556983</v>
      </c>
      <c r="E77">
        <v>1</v>
      </c>
      <c r="F77">
        <v>1</v>
      </c>
      <c r="G77">
        <v>1</v>
      </c>
      <c r="H77">
        <v>2</v>
      </c>
      <c r="I77" t="s">
        <v>489</v>
      </c>
      <c r="J77" t="s">
        <v>490</v>
      </c>
      <c r="K77" t="s">
        <v>491</v>
      </c>
      <c r="L77">
        <v>1368</v>
      </c>
      <c r="N77">
        <v>1011</v>
      </c>
      <c r="O77" t="s">
        <v>468</v>
      </c>
      <c r="P77" t="s">
        <v>468</v>
      </c>
      <c r="Q77">
        <v>1</v>
      </c>
      <c r="X77">
        <v>0.2</v>
      </c>
      <c r="Y77">
        <v>0</v>
      </c>
      <c r="Z77">
        <v>80.75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188</v>
      </c>
      <c r="AG77">
        <v>0.27</v>
      </c>
      <c r="AH77">
        <v>2</v>
      </c>
      <c r="AI77">
        <v>47920810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>
      <c r="A78">
        <f>ROW(Source!A89)</f>
        <v>89</v>
      </c>
      <c r="B78">
        <v>47920822</v>
      </c>
      <c r="C78">
        <v>47920804</v>
      </c>
      <c r="D78">
        <v>13559895</v>
      </c>
      <c r="E78">
        <v>1</v>
      </c>
      <c r="F78">
        <v>1</v>
      </c>
      <c r="G78">
        <v>1</v>
      </c>
      <c r="H78">
        <v>3</v>
      </c>
      <c r="I78" t="s">
        <v>541</v>
      </c>
      <c r="J78" t="s">
        <v>542</v>
      </c>
      <c r="K78" t="s">
        <v>543</v>
      </c>
      <c r="L78">
        <v>1348</v>
      </c>
      <c r="N78">
        <v>1009</v>
      </c>
      <c r="O78" t="s">
        <v>337</v>
      </c>
      <c r="P78" t="s">
        <v>337</v>
      </c>
      <c r="Q78">
        <v>1000</v>
      </c>
      <c r="X78">
        <v>6.2E-4</v>
      </c>
      <c r="Y78">
        <v>16039.96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6.2E-4</v>
      </c>
      <c r="AH78">
        <v>2</v>
      </c>
      <c r="AI78">
        <v>47920811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>
      <c r="A79">
        <f>ROW(Source!A89)</f>
        <v>89</v>
      </c>
      <c r="B79">
        <v>47920823</v>
      </c>
      <c r="C79">
        <v>47920804</v>
      </c>
      <c r="D79">
        <v>13561081</v>
      </c>
      <c r="E79">
        <v>1</v>
      </c>
      <c r="F79">
        <v>1</v>
      </c>
      <c r="G79">
        <v>1</v>
      </c>
      <c r="H79">
        <v>3</v>
      </c>
      <c r="I79" t="s">
        <v>531</v>
      </c>
      <c r="J79" t="s">
        <v>532</v>
      </c>
      <c r="K79" t="s">
        <v>533</v>
      </c>
      <c r="L79">
        <v>1308</v>
      </c>
      <c r="N79">
        <v>1003</v>
      </c>
      <c r="O79" t="s">
        <v>534</v>
      </c>
      <c r="P79" t="s">
        <v>534</v>
      </c>
      <c r="Q79">
        <v>100</v>
      </c>
      <c r="X79">
        <v>2.4500000000000001E-2</v>
      </c>
      <c r="Y79">
        <v>115.45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2.4500000000000001E-2</v>
      </c>
      <c r="AH79">
        <v>2</v>
      </c>
      <c r="AI79">
        <v>47920812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>
      <c r="A80">
        <f>ROW(Source!A89)</f>
        <v>89</v>
      </c>
      <c r="B80">
        <v>47920824</v>
      </c>
      <c r="C80">
        <v>47920804</v>
      </c>
      <c r="D80">
        <v>13583498</v>
      </c>
      <c r="E80">
        <v>1</v>
      </c>
      <c r="F80">
        <v>1</v>
      </c>
      <c r="G80">
        <v>1</v>
      </c>
      <c r="H80">
        <v>3</v>
      </c>
      <c r="I80" t="s">
        <v>535</v>
      </c>
      <c r="J80" t="s">
        <v>536</v>
      </c>
      <c r="K80" t="s">
        <v>537</v>
      </c>
      <c r="L80">
        <v>1348</v>
      </c>
      <c r="N80">
        <v>1009</v>
      </c>
      <c r="O80" t="s">
        <v>337</v>
      </c>
      <c r="P80" t="s">
        <v>337</v>
      </c>
      <c r="Q80">
        <v>1000</v>
      </c>
      <c r="X80">
        <v>7.2000000000000005E-4</v>
      </c>
      <c r="Y80">
        <v>9345.32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7.2000000000000005E-4</v>
      </c>
      <c r="AH80">
        <v>2</v>
      </c>
      <c r="AI80">
        <v>47920813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>
      <c r="A81">
        <f>ROW(Source!A89)</f>
        <v>89</v>
      </c>
      <c r="B81">
        <v>47920825</v>
      </c>
      <c r="C81">
        <v>47920804</v>
      </c>
      <c r="D81">
        <v>13651198</v>
      </c>
      <c r="E81">
        <v>1</v>
      </c>
      <c r="F81">
        <v>1</v>
      </c>
      <c r="G81">
        <v>1</v>
      </c>
      <c r="H81">
        <v>3</v>
      </c>
      <c r="I81" t="s">
        <v>538</v>
      </c>
      <c r="J81" t="s">
        <v>539</v>
      </c>
      <c r="K81" t="s">
        <v>540</v>
      </c>
      <c r="L81">
        <v>1346</v>
      </c>
      <c r="N81">
        <v>1009</v>
      </c>
      <c r="O81" t="s">
        <v>219</v>
      </c>
      <c r="P81" t="s">
        <v>219</v>
      </c>
      <c r="Q81">
        <v>1</v>
      </c>
      <c r="X81">
        <v>0.25</v>
      </c>
      <c r="Y81">
        <v>65.739999999999995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0.25</v>
      </c>
      <c r="AH81">
        <v>2</v>
      </c>
      <c r="AI81">
        <v>47920814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>
      <c r="A82">
        <f>ROW(Source!A89)</f>
        <v>89</v>
      </c>
      <c r="B82">
        <v>47920826</v>
      </c>
      <c r="C82">
        <v>47920804</v>
      </c>
      <c r="D82">
        <v>13758332</v>
      </c>
      <c r="E82">
        <v>1</v>
      </c>
      <c r="F82">
        <v>1</v>
      </c>
      <c r="G82">
        <v>1</v>
      </c>
      <c r="H82">
        <v>3</v>
      </c>
      <c r="I82" t="s">
        <v>509</v>
      </c>
      <c r="J82" t="s">
        <v>510</v>
      </c>
      <c r="K82" t="s">
        <v>511</v>
      </c>
      <c r="L82">
        <v>1374</v>
      </c>
      <c r="N82">
        <v>1013</v>
      </c>
      <c r="O82" t="s">
        <v>512</v>
      </c>
      <c r="P82" t="s">
        <v>512</v>
      </c>
      <c r="Q82">
        <v>1</v>
      </c>
      <c r="X82">
        <v>5.55</v>
      </c>
      <c r="Y82">
        <v>1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5.55</v>
      </c>
      <c r="AH82">
        <v>2</v>
      </c>
      <c r="AI82">
        <v>47920815</v>
      </c>
      <c r="AJ82">
        <v>82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>
      <c r="A83">
        <f>ROW(Source!A90)</f>
        <v>90</v>
      </c>
      <c r="B83">
        <v>47920838</v>
      </c>
      <c r="C83">
        <v>47920827</v>
      </c>
      <c r="D83">
        <v>9915120</v>
      </c>
      <c r="E83">
        <v>1</v>
      </c>
      <c r="F83">
        <v>1</v>
      </c>
      <c r="G83">
        <v>1</v>
      </c>
      <c r="H83">
        <v>1</v>
      </c>
      <c r="I83" t="s">
        <v>507</v>
      </c>
      <c r="J83" t="s">
        <v>3</v>
      </c>
      <c r="K83" t="s">
        <v>508</v>
      </c>
      <c r="L83">
        <v>1191</v>
      </c>
      <c r="N83">
        <v>1013</v>
      </c>
      <c r="O83" t="s">
        <v>460</v>
      </c>
      <c r="P83" t="s">
        <v>460</v>
      </c>
      <c r="Q83">
        <v>1</v>
      </c>
      <c r="X83">
        <v>10.24</v>
      </c>
      <c r="Y83">
        <v>0</v>
      </c>
      <c r="Z83">
        <v>0</v>
      </c>
      <c r="AA83">
        <v>0</v>
      </c>
      <c r="AB83">
        <v>9.35</v>
      </c>
      <c r="AC83">
        <v>0</v>
      </c>
      <c r="AD83">
        <v>1</v>
      </c>
      <c r="AE83">
        <v>1</v>
      </c>
      <c r="AF83" t="s">
        <v>188</v>
      </c>
      <c r="AG83">
        <v>13.824000000000002</v>
      </c>
      <c r="AH83">
        <v>2</v>
      </c>
      <c r="AI83">
        <v>47920828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>
      <c r="A84">
        <f>ROW(Source!A90)</f>
        <v>90</v>
      </c>
      <c r="B84">
        <v>47920839</v>
      </c>
      <c r="C84">
        <v>47920827</v>
      </c>
      <c r="D84">
        <v>121548</v>
      </c>
      <c r="E84">
        <v>1</v>
      </c>
      <c r="F84">
        <v>1</v>
      </c>
      <c r="G84">
        <v>1</v>
      </c>
      <c r="H84">
        <v>1</v>
      </c>
      <c r="I84" t="s">
        <v>26</v>
      </c>
      <c r="J84" t="s">
        <v>3</v>
      </c>
      <c r="K84" t="s">
        <v>461</v>
      </c>
      <c r="L84">
        <v>608254</v>
      </c>
      <c r="N84">
        <v>1013</v>
      </c>
      <c r="O84" t="s">
        <v>462</v>
      </c>
      <c r="P84" t="s">
        <v>462</v>
      </c>
      <c r="Q84">
        <v>1</v>
      </c>
      <c r="X84">
        <v>0.2</v>
      </c>
      <c r="Y84">
        <v>0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2</v>
      </c>
      <c r="AF84" t="s">
        <v>188</v>
      </c>
      <c r="AG84">
        <v>0.27</v>
      </c>
      <c r="AH84">
        <v>2</v>
      </c>
      <c r="AI84">
        <v>47920829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>
      <c r="A85">
        <f>ROW(Source!A90)</f>
        <v>90</v>
      </c>
      <c r="B85">
        <v>47920840</v>
      </c>
      <c r="C85">
        <v>47920827</v>
      </c>
      <c r="D85">
        <v>13554551</v>
      </c>
      <c r="E85">
        <v>1</v>
      </c>
      <c r="F85">
        <v>1</v>
      </c>
      <c r="G85">
        <v>1</v>
      </c>
      <c r="H85">
        <v>2</v>
      </c>
      <c r="I85" t="s">
        <v>513</v>
      </c>
      <c r="J85" t="s">
        <v>514</v>
      </c>
      <c r="K85" t="s">
        <v>515</v>
      </c>
      <c r="L85">
        <v>1368</v>
      </c>
      <c r="N85">
        <v>1011</v>
      </c>
      <c r="O85" t="s">
        <v>468</v>
      </c>
      <c r="P85" t="s">
        <v>468</v>
      </c>
      <c r="Q85">
        <v>1</v>
      </c>
      <c r="X85">
        <v>0.2</v>
      </c>
      <c r="Y85">
        <v>0</v>
      </c>
      <c r="Z85">
        <v>156.72</v>
      </c>
      <c r="AA85">
        <v>13.12</v>
      </c>
      <c r="AB85">
        <v>0</v>
      </c>
      <c r="AC85">
        <v>0</v>
      </c>
      <c r="AD85">
        <v>1</v>
      </c>
      <c r="AE85">
        <v>0</v>
      </c>
      <c r="AF85" t="s">
        <v>188</v>
      </c>
      <c r="AG85">
        <v>0.27</v>
      </c>
      <c r="AH85">
        <v>2</v>
      </c>
      <c r="AI85">
        <v>47920830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>
      <c r="A86">
        <f>ROW(Source!A90)</f>
        <v>90</v>
      </c>
      <c r="B86">
        <v>47920841</v>
      </c>
      <c r="C86">
        <v>47920827</v>
      </c>
      <c r="D86">
        <v>13554657</v>
      </c>
      <c r="E86">
        <v>1</v>
      </c>
      <c r="F86">
        <v>1</v>
      </c>
      <c r="G86">
        <v>1</v>
      </c>
      <c r="H86">
        <v>2</v>
      </c>
      <c r="I86" t="s">
        <v>516</v>
      </c>
      <c r="J86" t="s">
        <v>517</v>
      </c>
      <c r="K86" t="s">
        <v>518</v>
      </c>
      <c r="L86">
        <v>1368</v>
      </c>
      <c r="N86">
        <v>1011</v>
      </c>
      <c r="O86" t="s">
        <v>468</v>
      </c>
      <c r="P86" t="s">
        <v>468</v>
      </c>
      <c r="Q86">
        <v>1</v>
      </c>
      <c r="X86">
        <v>2.23</v>
      </c>
      <c r="Y86">
        <v>0</v>
      </c>
      <c r="Z86">
        <v>2.7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188</v>
      </c>
      <c r="AG86">
        <v>3.0105</v>
      </c>
      <c r="AH86">
        <v>2</v>
      </c>
      <c r="AI86">
        <v>47920831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>
      <c r="A87">
        <f>ROW(Source!A90)</f>
        <v>90</v>
      </c>
      <c r="B87">
        <v>47920842</v>
      </c>
      <c r="C87">
        <v>47920827</v>
      </c>
      <c r="D87">
        <v>13554676</v>
      </c>
      <c r="E87">
        <v>1</v>
      </c>
      <c r="F87">
        <v>1</v>
      </c>
      <c r="G87">
        <v>1</v>
      </c>
      <c r="H87">
        <v>2</v>
      </c>
      <c r="I87" t="s">
        <v>519</v>
      </c>
      <c r="J87" t="s">
        <v>520</v>
      </c>
      <c r="K87" t="s">
        <v>521</v>
      </c>
      <c r="L87">
        <v>1368</v>
      </c>
      <c r="N87">
        <v>1011</v>
      </c>
      <c r="O87" t="s">
        <v>468</v>
      </c>
      <c r="P87" t="s">
        <v>468</v>
      </c>
      <c r="Q87">
        <v>1</v>
      </c>
      <c r="X87">
        <v>2.23</v>
      </c>
      <c r="Y87">
        <v>0</v>
      </c>
      <c r="Z87">
        <v>11.64</v>
      </c>
      <c r="AA87">
        <v>0</v>
      </c>
      <c r="AB87">
        <v>0</v>
      </c>
      <c r="AC87">
        <v>0</v>
      </c>
      <c r="AD87">
        <v>1</v>
      </c>
      <c r="AE87">
        <v>0</v>
      </c>
      <c r="AF87" t="s">
        <v>188</v>
      </c>
      <c r="AG87">
        <v>3.0105</v>
      </c>
      <c r="AH87">
        <v>2</v>
      </c>
      <c r="AI87">
        <v>47920832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>
      <c r="A88">
        <f>ROW(Source!A90)</f>
        <v>90</v>
      </c>
      <c r="B88">
        <v>47920843</v>
      </c>
      <c r="C88">
        <v>47920827</v>
      </c>
      <c r="D88">
        <v>13556983</v>
      </c>
      <c r="E88">
        <v>1</v>
      </c>
      <c r="F88">
        <v>1</v>
      </c>
      <c r="G88">
        <v>1</v>
      </c>
      <c r="H88">
        <v>2</v>
      </c>
      <c r="I88" t="s">
        <v>489</v>
      </c>
      <c r="J88" t="s">
        <v>490</v>
      </c>
      <c r="K88" t="s">
        <v>491</v>
      </c>
      <c r="L88">
        <v>1368</v>
      </c>
      <c r="N88">
        <v>1011</v>
      </c>
      <c r="O88" t="s">
        <v>468</v>
      </c>
      <c r="P88" t="s">
        <v>468</v>
      </c>
      <c r="Q88">
        <v>1</v>
      </c>
      <c r="X88">
        <v>0.2</v>
      </c>
      <c r="Y88">
        <v>0</v>
      </c>
      <c r="Z88">
        <v>80.75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188</v>
      </c>
      <c r="AG88">
        <v>0.27</v>
      </c>
      <c r="AH88">
        <v>2</v>
      </c>
      <c r="AI88">
        <v>47920833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>
      <c r="A89">
        <f>ROW(Source!A90)</f>
        <v>90</v>
      </c>
      <c r="B89">
        <v>47920844</v>
      </c>
      <c r="C89">
        <v>47920827</v>
      </c>
      <c r="D89">
        <v>13561081</v>
      </c>
      <c r="E89">
        <v>1</v>
      </c>
      <c r="F89">
        <v>1</v>
      </c>
      <c r="G89">
        <v>1</v>
      </c>
      <c r="H89">
        <v>3</v>
      </c>
      <c r="I89" t="s">
        <v>531</v>
      </c>
      <c r="J89" t="s">
        <v>532</v>
      </c>
      <c r="K89" t="s">
        <v>533</v>
      </c>
      <c r="L89">
        <v>1308</v>
      </c>
      <c r="N89">
        <v>1003</v>
      </c>
      <c r="O89" t="s">
        <v>534</v>
      </c>
      <c r="P89" t="s">
        <v>534</v>
      </c>
      <c r="Q89">
        <v>100</v>
      </c>
      <c r="X89">
        <v>9.6000000000000002E-2</v>
      </c>
      <c r="Y89">
        <v>115.45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9.6000000000000002E-2</v>
      </c>
      <c r="AH89">
        <v>2</v>
      </c>
      <c r="AI89">
        <v>47920834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>
      <c r="A90">
        <f>ROW(Source!A90)</f>
        <v>90</v>
      </c>
      <c r="B90">
        <v>47920845</v>
      </c>
      <c r="C90">
        <v>47920827</v>
      </c>
      <c r="D90">
        <v>13583498</v>
      </c>
      <c r="E90">
        <v>1</v>
      </c>
      <c r="F90">
        <v>1</v>
      </c>
      <c r="G90">
        <v>1</v>
      </c>
      <c r="H90">
        <v>3</v>
      </c>
      <c r="I90" t="s">
        <v>535</v>
      </c>
      <c r="J90" t="s">
        <v>536</v>
      </c>
      <c r="K90" t="s">
        <v>537</v>
      </c>
      <c r="L90">
        <v>1348</v>
      </c>
      <c r="N90">
        <v>1009</v>
      </c>
      <c r="O90" t="s">
        <v>337</v>
      </c>
      <c r="P90" t="s">
        <v>337</v>
      </c>
      <c r="Q90">
        <v>1000</v>
      </c>
      <c r="X90">
        <v>6.0000000000000002E-5</v>
      </c>
      <c r="Y90">
        <v>9345.32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6.0000000000000002E-5</v>
      </c>
      <c r="AH90">
        <v>2</v>
      </c>
      <c r="AI90">
        <v>47920835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>
      <c r="A91">
        <f>ROW(Source!A90)</f>
        <v>90</v>
      </c>
      <c r="B91">
        <v>47920846</v>
      </c>
      <c r="C91">
        <v>47920827</v>
      </c>
      <c r="D91">
        <v>13651198</v>
      </c>
      <c r="E91">
        <v>1</v>
      </c>
      <c r="F91">
        <v>1</v>
      </c>
      <c r="G91">
        <v>1</v>
      </c>
      <c r="H91">
        <v>3</v>
      </c>
      <c r="I91" t="s">
        <v>538</v>
      </c>
      <c r="J91" t="s">
        <v>539</v>
      </c>
      <c r="K91" t="s">
        <v>540</v>
      </c>
      <c r="L91">
        <v>1346</v>
      </c>
      <c r="N91">
        <v>1009</v>
      </c>
      <c r="O91" t="s">
        <v>219</v>
      </c>
      <c r="P91" t="s">
        <v>219</v>
      </c>
      <c r="Q91">
        <v>1</v>
      </c>
      <c r="X91">
        <v>0.5</v>
      </c>
      <c r="Y91">
        <v>65.739999999999995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0.5</v>
      </c>
      <c r="AH91">
        <v>2</v>
      </c>
      <c r="AI91">
        <v>47920836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>
      <c r="A92">
        <f>ROW(Source!A90)</f>
        <v>90</v>
      </c>
      <c r="B92">
        <v>47920847</v>
      </c>
      <c r="C92">
        <v>47920827</v>
      </c>
      <c r="D92">
        <v>13758332</v>
      </c>
      <c r="E92">
        <v>1</v>
      </c>
      <c r="F92">
        <v>1</v>
      </c>
      <c r="G92">
        <v>1</v>
      </c>
      <c r="H92">
        <v>3</v>
      </c>
      <c r="I92" t="s">
        <v>509</v>
      </c>
      <c r="J92" t="s">
        <v>510</v>
      </c>
      <c r="K92" t="s">
        <v>511</v>
      </c>
      <c r="L92">
        <v>1374</v>
      </c>
      <c r="N92">
        <v>1013</v>
      </c>
      <c r="O92" t="s">
        <v>512</v>
      </c>
      <c r="P92" t="s">
        <v>512</v>
      </c>
      <c r="Q92">
        <v>1</v>
      </c>
      <c r="X92">
        <v>1.91</v>
      </c>
      <c r="Y92">
        <v>1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1.91</v>
      </c>
      <c r="AH92">
        <v>2</v>
      </c>
      <c r="AI92">
        <v>47920837</v>
      </c>
      <c r="AJ92">
        <v>92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>
      <c r="A93">
        <f>ROW(Source!A91)</f>
        <v>91</v>
      </c>
      <c r="B93">
        <v>47920852</v>
      </c>
      <c r="C93">
        <v>47920848</v>
      </c>
      <c r="D93">
        <v>9915120</v>
      </c>
      <c r="E93">
        <v>1</v>
      </c>
      <c r="F93">
        <v>1</v>
      </c>
      <c r="G93">
        <v>1</v>
      </c>
      <c r="H93">
        <v>1</v>
      </c>
      <c r="I93" t="s">
        <v>507</v>
      </c>
      <c r="J93" t="s">
        <v>3</v>
      </c>
      <c r="K93" t="s">
        <v>508</v>
      </c>
      <c r="L93">
        <v>1191</v>
      </c>
      <c r="N93">
        <v>1013</v>
      </c>
      <c r="O93" t="s">
        <v>460</v>
      </c>
      <c r="P93" t="s">
        <v>460</v>
      </c>
      <c r="Q93">
        <v>1</v>
      </c>
      <c r="X93">
        <v>1.26</v>
      </c>
      <c r="Y93">
        <v>0</v>
      </c>
      <c r="Z93">
        <v>0</v>
      </c>
      <c r="AA93">
        <v>0</v>
      </c>
      <c r="AB93">
        <v>9.35</v>
      </c>
      <c r="AC93">
        <v>0</v>
      </c>
      <c r="AD93">
        <v>1</v>
      </c>
      <c r="AE93">
        <v>1</v>
      </c>
      <c r="AF93" t="s">
        <v>188</v>
      </c>
      <c r="AG93">
        <v>1.7010000000000001</v>
      </c>
      <c r="AH93">
        <v>2</v>
      </c>
      <c r="AI93">
        <v>47920849</v>
      </c>
      <c r="AJ93">
        <v>93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>
      <c r="A94">
        <f>ROW(Source!A91)</f>
        <v>91</v>
      </c>
      <c r="B94">
        <v>47920853</v>
      </c>
      <c r="C94">
        <v>47920848</v>
      </c>
      <c r="D94">
        <v>121548</v>
      </c>
      <c r="E94">
        <v>1</v>
      </c>
      <c r="F94">
        <v>1</v>
      </c>
      <c r="G94">
        <v>1</v>
      </c>
      <c r="H94">
        <v>1</v>
      </c>
      <c r="I94" t="s">
        <v>26</v>
      </c>
      <c r="J94" t="s">
        <v>3</v>
      </c>
      <c r="K94" t="s">
        <v>461</v>
      </c>
      <c r="L94">
        <v>608254</v>
      </c>
      <c r="N94">
        <v>1013</v>
      </c>
      <c r="O94" t="s">
        <v>462</v>
      </c>
      <c r="P94" t="s">
        <v>462</v>
      </c>
      <c r="Q94">
        <v>1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2</v>
      </c>
      <c r="AF94" t="s">
        <v>188</v>
      </c>
      <c r="AG94">
        <v>0</v>
      </c>
      <c r="AH94">
        <v>2</v>
      </c>
      <c r="AI94">
        <v>47920850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>
      <c r="A95">
        <f>ROW(Source!A91)</f>
        <v>91</v>
      </c>
      <c r="B95">
        <v>47920854</v>
      </c>
      <c r="C95">
        <v>47920848</v>
      </c>
      <c r="D95">
        <v>13758332</v>
      </c>
      <c r="E95">
        <v>1</v>
      </c>
      <c r="F95">
        <v>1</v>
      </c>
      <c r="G95">
        <v>1</v>
      </c>
      <c r="H95">
        <v>3</v>
      </c>
      <c r="I95" t="s">
        <v>509</v>
      </c>
      <c r="J95" t="s">
        <v>510</v>
      </c>
      <c r="K95" t="s">
        <v>511</v>
      </c>
      <c r="L95">
        <v>1374</v>
      </c>
      <c r="N95">
        <v>1013</v>
      </c>
      <c r="O95" t="s">
        <v>512</v>
      </c>
      <c r="P95" t="s">
        <v>512</v>
      </c>
      <c r="Q95">
        <v>1</v>
      </c>
      <c r="X95">
        <v>0.24</v>
      </c>
      <c r="Y95">
        <v>1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0.24</v>
      </c>
      <c r="AH95">
        <v>2</v>
      </c>
      <c r="AI95">
        <v>47920851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>
      <c r="A96">
        <f>ROW(Source!A92)</f>
        <v>92</v>
      </c>
      <c r="B96">
        <v>47921851</v>
      </c>
      <c r="C96">
        <v>47920855</v>
      </c>
      <c r="D96">
        <v>9915120</v>
      </c>
      <c r="E96">
        <v>1</v>
      </c>
      <c r="F96">
        <v>1</v>
      </c>
      <c r="G96">
        <v>1</v>
      </c>
      <c r="H96">
        <v>1</v>
      </c>
      <c r="I96" t="s">
        <v>507</v>
      </c>
      <c r="J96" t="s">
        <v>3</v>
      </c>
      <c r="K96" t="s">
        <v>508</v>
      </c>
      <c r="L96">
        <v>1191</v>
      </c>
      <c r="N96">
        <v>1013</v>
      </c>
      <c r="O96" t="s">
        <v>460</v>
      </c>
      <c r="P96" t="s">
        <v>460</v>
      </c>
      <c r="Q96">
        <v>1</v>
      </c>
      <c r="X96">
        <v>5.4</v>
      </c>
      <c r="Y96">
        <v>0</v>
      </c>
      <c r="Z96">
        <v>0</v>
      </c>
      <c r="AA96">
        <v>0</v>
      </c>
      <c r="AB96">
        <v>9.35</v>
      </c>
      <c r="AC96">
        <v>0</v>
      </c>
      <c r="AD96">
        <v>1</v>
      </c>
      <c r="AE96">
        <v>1</v>
      </c>
      <c r="AF96" t="s">
        <v>188</v>
      </c>
      <c r="AG96">
        <v>7.2900000000000009</v>
      </c>
      <c r="AH96">
        <v>2</v>
      </c>
      <c r="AI96">
        <v>47921851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>
      <c r="A97">
        <f>ROW(Source!A92)</f>
        <v>92</v>
      </c>
      <c r="B97">
        <v>47921852</v>
      </c>
      <c r="C97">
        <v>47920855</v>
      </c>
      <c r="D97">
        <v>121548</v>
      </c>
      <c r="E97">
        <v>1</v>
      </c>
      <c r="F97">
        <v>1</v>
      </c>
      <c r="G97">
        <v>1</v>
      </c>
      <c r="H97">
        <v>1</v>
      </c>
      <c r="I97" t="s">
        <v>26</v>
      </c>
      <c r="J97" t="s">
        <v>3</v>
      </c>
      <c r="K97" t="s">
        <v>461</v>
      </c>
      <c r="L97">
        <v>608254</v>
      </c>
      <c r="N97">
        <v>1013</v>
      </c>
      <c r="O97" t="s">
        <v>462</v>
      </c>
      <c r="P97" t="s">
        <v>462</v>
      </c>
      <c r="Q97">
        <v>1</v>
      </c>
      <c r="X97">
        <v>4.2699999999999996</v>
      </c>
      <c r="Y97">
        <v>0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2</v>
      </c>
      <c r="AF97" t="s">
        <v>188</v>
      </c>
      <c r="AG97">
        <v>5.7645</v>
      </c>
      <c r="AH97">
        <v>2</v>
      </c>
      <c r="AI97">
        <v>47921852</v>
      </c>
      <c r="AJ97">
        <v>97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>
      <c r="A98">
        <f>ROW(Source!A92)</f>
        <v>92</v>
      </c>
      <c r="B98">
        <v>47921853</v>
      </c>
      <c r="C98">
        <v>47920855</v>
      </c>
      <c r="D98">
        <v>13554731</v>
      </c>
      <c r="E98">
        <v>1</v>
      </c>
      <c r="F98">
        <v>1</v>
      </c>
      <c r="G98">
        <v>1</v>
      </c>
      <c r="H98">
        <v>2</v>
      </c>
      <c r="I98" t="s">
        <v>544</v>
      </c>
      <c r="J98" t="s">
        <v>545</v>
      </c>
      <c r="K98" t="s">
        <v>546</v>
      </c>
      <c r="L98">
        <v>1368</v>
      </c>
      <c r="N98">
        <v>1011</v>
      </c>
      <c r="O98" t="s">
        <v>468</v>
      </c>
      <c r="P98" t="s">
        <v>468</v>
      </c>
      <c r="Q98">
        <v>1</v>
      </c>
      <c r="X98">
        <v>4.2699999999999996</v>
      </c>
      <c r="Y98">
        <v>0</v>
      </c>
      <c r="Z98">
        <v>175.21</v>
      </c>
      <c r="AA98">
        <v>13.12</v>
      </c>
      <c r="AB98">
        <v>0</v>
      </c>
      <c r="AC98">
        <v>0</v>
      </c>
      <c r="AD98">
        <v>1</v>
      </c>
      <c r="AE98">
        <v>0</v>
      </c>
      <c r="AF98" t="s">
        <v>188</v>
      </c>
      <c r="AG98">
        <v>5.7645</v>
      </c>
      <c r="AH98">
        <v>2</v>
      </c>
      <c r="AI98">
        <v>47921853</v>
      </c>
      <c r="AJ98">
        <v>98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>
      <c r="A99">
        <f>ROW(Source!A92)</f>
        <v>92</v>
      </c>
      <c r="B99">
        <v>47921854</v>
      </c>
      <c r="C99">
        <v>47920855</v>
      </c>
      <c r="D99">
        <v>13557920</v>
      </c>
      <c r="E99">
        <v>1</v>
      </c>
      <c r="F99">
        <v>1</v>
      </c>
      <c r="G99">
        <v>1</v>
      </c>
      <c r="H99">
        <v>3</v>
      </c>
      <c r="I99" t="s">
        <v>547</v>
      </c>
      <c r="J99" t="s">
        <v>548</v>
      </c>
      <c r="K99" t="s">
        <v>549</v>
      </c>
      <c r="L99">
        <v>1348</v>
      </c>
      <c r="N99">
        <v>1009</v>
      </c>
      <c r="O99" t="s">
        <v>337</v>
      </c>
      <c r="P99" t="s">
        <v>337</v>
      </c>
      <c r="Q99">
        <v>1000</v>
      </c>
      <c r="X99">
        <v>4.0000000000000002E-4</v>
      </c>
      <c r="Y99">
        <v>5976.4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4.0000000000000002E-4</v>
      </c>
      <c r="AH99">
        <v>2</v>
      </c>
      <c r="AI99">
        <v>47921854</v>
      </c>
      <c r="AJ99">
        <v>99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>
      <c r="A100">
        <f>ROW(Source!A92)</f>
        <v>92</v>
      </c>
      <c r="B100">
        <v>47921855</v>
      </c>
      <c r="C100">
        <v>47920855</v>
      </c>
      <c r="D100">
        <v>13561081</v>
      </c>
      <c r="E100">
        <v>1</v>
      </c>
      <c r="F100">
        <v>1</v>
      </c>
      <c r="G100">
        <v>1</v>
      </c>
      <c r="H100">
        <v>3</v>
      </c>
      <c r="I100" t="s">
        <v>531</v>
      </c>
      <c r="J100" t="s">
        <v>532</v>
      </c>
      <c r="K100" t="s">
        <v>533</v>
      </c>
      <c r="L100">
        <v>1308</v>
      </c>
      <c r="N100">
        <v>1003</v>
      </c>
      <c r="O100" t="s">
        <v>534</v>
      </c>
      <c r="P100" t="s">
        <v>534</v>
      </c>
      <c r="Q100">
        <v>100</v>
      </c>
      <c r="X100">
        <v>2.3999999999999998E-3</v>
      </c>
      <c r="Y100">
        <v>115.45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2.3999999999999998E-3</v>
      </c>
      <c r="AH100">
        <v>2</v>
      </c>
      <c r="AI100">
        <v>47921855</v>
      </c>
      <c r="AJ100">
        <v>100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>
      <c r="A101">
        <f>ROW(Source!A92)</f>
        <v>92</v>
      </c>
      <c r="B101">
        <v>47921856</v>
      </c>
      <c r="C101">
        <v>47920855</v>
      </c>
      <c r="D101">
        <v>13663275</v>
      </c>
      <c r="E101">
        <v>1</v>
      </c>
      <c r="F101">
        <v>1</v>
      </c>
      <c r="G101">
        <v>1</v>
      </c>
      <c r="H101">
        <v>3</v>
      </c>
      <c r="I101" t="s">
        <v>550</v>
      </c>
      <c r="J101" t="s">
        <v>551</v>
      </c>
      <c r="K101" t="s">
        <v>552</v>
      </c>
      <c r="L101">
        <v>1348</v>
      </c>
      <c r="N101">
        <v>1009</v>
      </c>
      <c r="O101" t="s">
        <v>337</v>
      </c>
      <c r="P101" t="s">
        <v>337</v>
      </c>
      <c r="Q101">
        <v>1000</v>
      </c>
      <c r="X101">
        <v>1.0000000000000001E-5</v>
      </c>
      <c r="Y101">
        <v>9678.2199999999993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1.0000000000000001E-5</v>
      </c>
      <c r="AH101">
        <v>2</v>
      </c>
      <c r="AI101">
        <v>47921856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>
      <c r="A102">
        <f>ROW(Source!A92)</f>
        <v>92</v>
      </c>
      <c r="B102">
        <v>47921857</v>
      </c>
      <c r="C102">
        <v>47920855</v>
      </c>
      <c r="D102">
        <v>13758332</v>
      </c>
      <c r="E102">
        <v>1</v>
      </c>
      <c r="F102">
        <v>1</v>
      </c>
      <c r="G102">
        <v>1</v>
      </c>
      <c r="H102">
        <v>3</v>
      </c>
      <c r="I102" t="s">
        <v>509</v>
      </c>
      <c r="J102" t="s">
        <v>510</v>
      </c>
      <c r="K102" t="s">
        <v>511</v>
      </c>
      <c r="L102">
        <v>1374</v>
      </c>
      <c r="N102">
        <v>1013</v>
      </c>
      <c r="O102" t="s">
        <v>512</v>
      </c>
      <c r="P102" t="s">
        <v>512</v>
      </c>
      <c r="Q102">
        <v>1</v>
      </c>
      <c r="X102">
        <v>1.01</v>
      </c>
      <c r="Y102">
        <v>1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1.01</v>
      </c>
      <c r="AH102">
        <v>2</v>
      </c>
      <c r="AI102">
        <v>47921857</v>
      </c>
      <c r="AJ102">
        <v>102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>
      <c r="A103">
        <f>ROW(Source!A93)</f>
        <v>93</v>
      </c>
      <c r="B103">
        <v>47920874</v>
      </c>
      <c r="C103">
        <v>47920870</v>
      </c>
      <c r="D103">
        <v>9915120</v>
      </c>
      <c r="E103">
        <v>1</v>
      </c>
      <c r="F103">
        <v>1</v>
      </c>
      <c r="G103">
        <v>1</v>
      </c>
      <c r="H103">
        <v>1</v>
      </c>
      <c r="I103" t="s">
        <v>507</v>
      </c>
      <c r="J103" t="s">
        <v>3</v>
      </c>
      <c r="K103" t="s">
        <v>508</v>
      </c>
      <c r="L103">
        <v>1191</v>
      </c>
      <c r="N103">
        <v>1013</v>
      </c>
      <c r="O103" t="s">
        <v>460</v>
      </c>
      <c r="P103" t="s">
        <v>460</v>
      </c>
      <c r="Q103">
        <v>1</v>
      </c>
      <c r="X103">
        <v>22.72</v>
      </c>
      <c r="Y103">
        <v>0</v>
      </c>
      <c r="Z103">
        <v>0</v>
      </c>
      <c r="AA103">
        <v>0</v>
      </c>
      <c r="AB103">
        <v>9.35</v>
      </c>
      <c r="AC103">
        <v>0</v>
      </c>
      <c r="AD103">
        <v>1</v>
      </c>
      <c r="AE103">
        <v>1</v>
      </c>
      <c r="AF103" t="s">
        <v>188</v>
      </c>
      <c r="AG103">
        <v>30.672000000000001</v>
      </c>
      <c r="AH103">
        <v>2</v>
      </c>
      <c r="AI103">
        <v>47920871</v>
      </c>
      <c r="AJ103">
        <v>103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>
      <c r="A104">
        <f>ROW(Source!A93)</f>
        <v>93</v>
      </c>
      <c r="B104">
        <v>47920875</v>
      </c>
      <c r="C104">
        <v>47920870</v>
      </c>
      <c r="D104">
        <v>121548</v>
      </c>
      <c r="E104">
        <v>1</v>
      </c>
      <c r="F104">
        <v>1</v>
      </c>
      <c r="G104">
        <v>1</v>
      </c>
      <c r="H104">
        <v>1</v>
      </c>
      <c r="I104" t="s">
        <v>26</v>
      </c>
      <c r="J104" t="s">
        <v>3</v>
      </c>
      <c r="K104" t="s">
        <v>461</v>
      </c>
      <c r="L104">
        <v>608254</v>
      </c>
      <c r="N104">
        <v>1013</v>
      </c>
      <c r="O104" t="s">
        <v>462</v>
      </c>
      <c r="P104" t="s">
        <v>462</v>
      </c>
      <c r="Q104">
        <v>1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2</v>
      </c>
      <c r="AF104" t="s">
        <v>188</v>
      </c>
      <c r="AG104">
        <v>0</v>
      </c>
      <c r="AH104">
        <v>2</v>
      </c>
      <c r="AI104">
        <v>47920872</v>
      </c>
      <c r="AJ104">
        <v>104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>
      <c r="A105">
        <f>ROW(Source!A93)</f>
        <v>93</v>
      </c>
      <c r="B105">
        <v>47920876</v>
      </c>
      <c r="C105">
        <v>47920870</v>
      </c>
      <c r="D105">
        <v>13758332</v>
      </c>
      <c r="E105">
        <v>1</v>
      </c>
      <c r="F105">
        <v>1</v>
      </c>
      <c r="G105">
        <v>1</v>
      </c>
      <c r="H105">
        <v>3</v>
      </c>
      <c r="I105" t="s">
        <v>509</v>
      </c>
      <c r="J105" t="s">
        <v>510</v>
      </c>
      <c r="K105" t="s">
        <v>511</v>
      </c>
      <c r="L105">
        <v>1374</v>
      </c>
      <c r="N105">
        <v>1013</v>
      </c>
      <c r="O105" t="s">
        <v>512</v>
      </c>
      <c r="P105" t="s">
        <v>512</v>
      </c>
      <c r="Q105">
        <v>1</v>
      </c>
      <c r="X105">
        <v>4.25</v>
      </c>
      <c r="Y105">
        <v>1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3</v>
      </c>
      <c r="AG105">
        <v>4.25</v>
      </c>
      <c r="AH105">
        <v>2</v>
      </c>
      <c r="AI105">
        <v>47920873</v>
      </c>
      <c r="AJ105">
        <v>105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>
      <c r="A106">
        <f>ROW(Source!A94)</f>
        <v>94</v>
      </c>
      <c r="B106">
        <v>47923621</v>
      </c>
      <c r="C106">
        <v>47920877</v>
      </c>
      <c r="D106">
        <v>9915120</v>
      </c>
      <c r="E106">
        <v>1</v>
      </c>
      <c r="F106">
        <v>1</v>
      </c>
      <c r="G106">
        <v>1</v>
      </c>
      <c r="H106">
        <v>1</v>
      </c>
      <c r="I106" t="s">
        <v>507</v>
      </c>
      <c r="J106" t="s">
        <v>3</v>
      </c>
      <c r="K106" t="s">
        <v>508</v>
      </c>
      <c r="L106">
        <v>1191</v>
      </c>
      <c r="N106">
        <v>1013</v>
      </c>
      <c r="O106" t="s">
        <v>460</v>
      </c>
      <c r="P106" t="s">
        <v>460</v>
      </c>
      <c r="Q106">
        <v>1</v>
      </c>
      <c r="X106">
        <v>11.84</v>
      </c>
      <c r="Y106">
        <v>0</v>
      </c>
      <c r="Z106">
        <v>0</v>
      </c>
      <c r="AA106">
        <v>0</v>
      </c>
      <c r="AB106">
        <v>9.35</v>
      </c>
      <c r="AC106">
        <v>0</v>
      </c>
      <c r="AD106">
        <v>1</v>
      </c>
      <c r="AE106">
        <v>1</v>
      </c>
      <c r="AF106" t="s">
        <v>66</v>
      </c>
      <c r="AG106">
        <v>16.339199999999998</v>
      </c>
      <c r="AH106">
        <v>2</v>
      </c>
      <c r="AI106">
        <v>47923621</v>
      </c>
      <c r="AJ106">
        <v>106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>
      <c r="A107">
        <f>ROW(Source!A94)</f>
        <v>94</v>
      </c>
      <c r="B107">
        <v>47923622</v>
      </c>
      <c r="C107">
        <v>47920877</v>
      </c>
      <c r="D107">
        <v>121548</v>
      </c>
      <c r="E107">
        <v>1</v>
      </c>
      <c r="F107">
        <v>1</v>
      </c>
      <c r="G107">
        <v>1</v>
      </c>
      <c r="H107">
        <v>1</v>
      </c>
      <c r="I107" t="s">
        <v>26</v>
      </c>
      <c r="J107" t="s">
        <v>3</v>
      </c>
      <c r="K107" t="s">
        <v>461</v>
      </c>
      <c r="L107">
        <v>608254</v>
      </c>
      <c r="N107">
        <v>1013</v>
      </c>
      <c r="O107" t="s">
        <v>462</v>
      </c>
      <c r="P107" t="s">
        <v>462</v>
      </c>
      <c r="Q107">
        <v>1</v>
      </c>
      <c r="X107">
        <v>0.03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2</v>
      </c>
      <c r="AF107" t="s">
        <v>66</v>
      </c>
      <c r="AG107">
        <v>4.1399999999999992E-2</v>
      </c>
      <c r="AH107">
        <v>2</v>
      </c>
      <c r="AI107">
        <v>47923622</v>
      </c>
      <c r="AJ107">
        <v>107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>
      <c r="A108">
        <f>ROW(Source!A94)</f>
        <v>94</v>
      </c>
      <c r="B108">
        <v>47923623</v>
      </c>
      <c r="C108">
        <v>47920877</v>
      </c>
      <c r="D108">
        <v>13554551</v>
      </c>
      <c r="E108">
        <v>1</v>
      </c>
      <c r="F108">
        <v>1</v>
      </c>
      <c r="G108">
        <v>1</v>
      </c>
      <c r="H108">
        <v>2</v>
      </c>
      <c r="I108" t="s">
        <v>513</v>
      </c>
      <c r="J108" t="s">
        <v>514</v>
      </c>
      <c r="K108" t="s">
        <v>515</v>
      </c>
      <c r="L108">
        <v>1368</v>
      </c>
      <c r="N108">
        <v>1011</v>
      </c>
      <c r="O108" t="s">
        <v>468</v>
      </c>
      <c r="P108" t="s">
        <v>468</v>
      </c>
      <c r="Q108">
        <v>1</v>
      </c>
      <c r="X108">
        <v>0.03</v>
      </c>
      <c r="Y108">
        <v>0</v>
      </c>
      <c r="Z108">
        <v>156.72</v>
      </c>
      <c r="AA108">
        <v>13.12</v>
      </c>
      <c r="AB108">
        <v>0</v>
      </c>
      <c r="AC108">
        <v>0</v>
      </c>
      <c r="AD108">
        <v>1</v>
      </c>
      <c r="AE108">
        <v>0</v>
      </c>
      <c r="AF108" t="s">
        <v>66</v>
      </c>
      <c r="AG108">
        <v>4.1399999999999992E-2</v>
      </c>
      <c r="AH108">
        <v>2</v>
      </c>
      <c r="AI108">
        <v>47923623</v>
      </c>
      <c r="AJ108">
        <v>108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>
      <c r="A109">
        <f>ROW(Source!A94)</f>
        <v>94</v>
      </c>
      <c r="B109">
        <v>47923624</v>
      </c>
      <c r="C109">
        <v>47920877</v>
      </c>
      <c r="D109">
        <v>13556983</v>
      </c>
      <c r="E109">
        <v>1</v>
      </c>
      <c r="F109">
        <v>1</v>
      </c>
      <c r="G109">
        <v>1</v>
      </c>
      <c r="H109">
        <v>2</v>
      </c>
      <c r="I109" t="s">
        <v>489</v>
      </c>
      <c r="J109" t="s">
        <v>490</v>
      </c>
      <c r="K109" t="s">
        <v>491</v>
      </c>
      <c r="L109">
        <v>1368</v>
      </c>
      <c r="N109">
        <v>1011</v>
      </c>
      <c r="O109" t="s">
        <v>468</v>
      </c>
      <c r="P109" t="s">
        <v>468</v>
      </c>
      <c r="Q109">
        <v>1</v>
      </c>
      <c r="X109">
        <v>0.03</v>
      </c>
      <c r="Y109">
        <v>0</v>
      </c>
      <c r="Z109">
        <v>80.75</v>
      </c>
      <c r="AA109">
        <v>0</v>
      </c>
      <c r="AB109">
        <v>0</v>
      </c>
      <c r="AC109">
        <v>0</v>
      </c>
      <c r="AD109">
        <v>1</v>
      </c>
      <c r="AE109">
        <v>0</v>
      </c>
      <c r="AF109" t="s">
        <v>66</v>
      </c>
      <c r="AG109">
        <v>4.1399999999999992E-2</v>
      </c>
      <c r="AH109">
        <v>2</v>
      </c>
      <c r="AI109">
        <v>47923624</v>
      </c>
      <c r="AJ109">
        <v>109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>
      <c r="A110">
        <f>ROW(Source!A94)</f>
        <v>94</v>
      </c>
      <c r="B110">
        <v>47923625</v>
      </c>
      <c r="C110">
        <v>47920877</v>
      </c>
      <c r="D110">
        <v>13557920</v>
      </c>
      <c r="E110">
        <v>1</v>
      </c>
      <c r="F110">
        <v>1</v>
      </c>
      <c r="G110">
        <v>1</v>
      </c>
      <c r="H110">
        <v>3</v>
      </c>
      <c r="I110" t="s">
        <v>547</v>
      </c>
      <c r="J110" t="s">
        <v>548</v>
      </c>
      <c r="K110" t="s">
        <v>549</v>
      </c>
      <c r="L110">
        <v>1348</v>
      </c>
      <c r="N110">
        <v>1009</v>
      </c>
      <c r="O110" t="s">
        <v>337</v>
      </c>
      <c r="P110" t="s">
        <v>337</v>
      </c>
      <c r="Q110">
        <v>1000</v>
      </c>
      <c r="X110">
        <v>8.0000000000000004E-4</v>
      </c>
      <c r="Y110">
        <v>5976.4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8.0000000000000004E-4</v>
      </c>
      <c r="AH110">
        <v>2</v>
      </c>
      <c r="AI110">
        <v>47923625</v>
      </c>
      <c r="AJ110">
        <v>110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>
      <c r="A111">
        <f>ROW(Source!A94)</f>
        <v>94</v>
      </c>
      <c r="B111">
        <v>47923626</v>
      </c>
      <c r="C111">
        <v>47920877</v>
      </c>
      <c r="D111">
        <v>13560818</v>
      </c>
      <c r="E111">
        <v>1</v>
      </c>
      <c r="F111">
        <v>1</v>
      </c>
      <c r="G111">
        <v>1</v>
      </c>
      <c r="H111">
        <v>3</v>
      </c>
      <c r="I111" t="s">
        <v>553</v>
      </c>
      <c r="J111" t="s">
        <v>554</v>
      </c>
      <c r="K111" t="s">
        <v>555</v>
      </c>
      <c r="L111">
        <v>1346</v>
      </c>
      <c r="N111">
        <v>1009</v>
      </c>
      <c r="O111" t="s">
        <v>219</v>
      </c>
      <c r="P111" t="s">
        <v>219</v>
      </c>
      <c r="Q111">
        <v>1</v>
      </c>
      <c r="X111">
        <v>3.3</v>
      </c>
      <c r="Y111">
        <v>4.16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3.3</v>
      </c>
      <c r="AH111">
        <v>2</v>
      </c>
      <c r="AI111">
        <v>47923626</v>
      </c>
      <c r="AJ111">
        <v>111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>
      <c r="A112">
        <f>ROW(Source!A94)</f>
        <v>94</v>
      </c>
      <c r="B112">
        <v>47923627</v>
      </c>
      <c r="C112">
        <v>47920877</v>
      </c>
      <c r="D112">
        <v>13561081</v>
      </c>
      <c r="E112">
        <v>1</v>
      </c>
      <c r="F112">
        <v>1</v>
      </c>
      <c r="G112">
        <v>1</v>
      </c>
      <c r="H112">
        <v>3</v>
      </c>
      <c r="I112" t="s">
        <v>531</v>
      </c>
      <c r="J112" t="s">
        <v>532</v>
      </c>
      <c r="K112" t="s">
        <v>533</v>
      </c>
      <c r="L112">
        <v>1308</v>
      </c>
      <c r="N112">
        <v>1003</v>
      </c>
      <c r="O112" t="s">
        <v>534</v>
      </c>
      <c r="P112" t="s">
        <v>534</v>
      </c>
      <c r="Q112">
        <v>100</v>
      </c>
      <c r="X112">
        <v>2.3999999999999998E-3</v>
      </c>
      <c r="Y112">
        <v>115.45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2.3999999999999998E-3</v>
      </c>
      <c r="AH112">
        <v>2</v>
      </c>
      <c r="AI112">
        <v>47923627</v>
      </c>
      <c r="AJ112">
        <v>112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>
      <c r="A113">
        <f>ROW(Source!A94)</f>
        <v>94</v>
      </c>
      <c r="B113">
        <v>47923628</v>
      </c>
      <c r="C113">
        <v>47920877</v>
      </c>
      <c r="D113">
        <v>13663275</v>
      </c>
      <c r="E113">
        <v>1</v>
      </c>
      <c r="F113">
        <v>1</v>
      </c>
      <c r="G113">
        <v>1</v>
      </c>
      <c r="H113">
        <v>3</v>
      </c>
      <c r="I113" t="s">
        <v>550</v>
      </c>
      <c r="J113" t="s">
        <v>551</v>
      </c>
      <c r="K113" t="s">
        <v>552</v>
      </c>
      <c r="L113">
        <v>1348</v>
      </c>
      <c r="N113">
        <v>1009</v>
      </c>
      <c r="O113" t="s">
        <v>337</v>
      </c>
      <c r="P113" t="s">
        <v>337</v>
      </c>
      <c r="Q113">
        <v>1000</v>
      </c>
      <c r="X113">
        <v>2.0000000000000002E-5</v>
      </c>
      <c r="Y113">
        <v>9678.2199999999993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2.0000000000000002E-5</v>
      </c>
      <c r="AH113">
        <v>2</v>
      </c>
      <c r="AI113">
        <v>47923628</v>
      </c>
      <c r="AJ113">
        <v>113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>
      <c r="A114">
        <f>ROW(Source!A94)</f>
        <v>94</v>
      </c>
      <c r="B114">
        <v>47923629</v>
      </c>
      <c r="C114">
        <v>47920877</v>
      </c>
      <c r="D114">
        <v>13758332</v>
      </c>
      <c r="E114">
        <v>1</v>
      </c>
      <c r="F114">
        <v>1</v>
      </c>
      <c r="G114">
        <v>1</v>
      </c>
      <c r="H114">
        <v>3</v>
      </c>
      <c r="I114" t="s">
        <v>509</v>
      </c>
      <c r="J114" t="s">
        <v>510</v>
      </c>
      <c r="K114" t="s">
        <v>511</v>
      </c>
      <c r="L114">
        <v>1374</v>
      </c>
      <c r="N114">
        <v>1013</v>
      </c>
      <c r="O114" t="s">
        <v>512</v>
      </c>
      <c r="P114" t="s">
        <v>512</v>
      </c>
      <c r="Q114">
        <v>1</v>
      </c>
      <c r="X114">
        <v>2.21</v>
      </c>
      <c r="Y114">
        <v>1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F114" t="s">
        <v>3</v>
      </c>
      <c r="AG114">
        <v>2.21</v>
      </c>
      <c r="AH114">
        <v>2</v>
      </c>
      <c r="AI114">
        <v>47923629</v>
      </c>
      <c r="AJ114">
        <v>114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>
      <c r="A115">
        <f>ROW(Source!A95)</f>
        <v>95</v>
      </c>
      <c r="B115">
        <v>47920903</v>
      </c>
      <c r="C115">
        <v>47920896</v>
      </c>
      <c r="D115">
        <v>9915120</v>
      </c>
      <c r="E115">
        <v>1</v>
      </c>
      <c r="F115">
        <v>1</v>
      </c>
      <c r="G115">
        <v>1</v>
      </c>
      <c r="H115">
        <v>1</v>
      </c>
      <c r="I115" t="s">
        <v>507</v>
      </c>
      <c r="J115" t="s">
        <v>3</v>
      </c>
      <c r="K115" t="s">
        <v>508</v>
      </c>
      <c r="L115">
        <v>1191</v>
      </c>
      <c r="N115">
        <v>1013</v>
      </c>
      <c r="O115" t="s">
        <v>460</v>
      </c>
      <c r="P115" t="s">
        <v>460</v>
      </c>
      <c r="Q115">
        <v>1</v>
      </c>
      <c r="X115">
        <v>0.38</v>
      </c>
      <c r="Y115">
        <v>0</v>
      </c>
      <c r="Z115">
        <v>0</v>
      </c>
      <c r="AA115">
        <v>0</v>
      </c>
      <c r="AB115">
        <v>9.35</v>
      </c>
      <c r="AC115">
        <v>0</v>
      </c>
      <c r="AD115">
        <v>1</v>
      </c>
      <c r="AE115">
        <v>1</v>
      </c>
      <c r="AF115" t="s">
        <v>66</v>
      </c>
      <c r="AG115">
        <v>0.52439999999999987</v>
      </c>
      <c r="AH115">
        <v>2</v>
      </c>
      <c r="AI115">
        <v>47920897</v>
      </c>
      <c r="AJ115">
        <v>115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>
      <c r="A116">
        <f>ROW(Source!A95)</f>
        <v>95</v>
      </c>
      <c r="B116">
        <v>47920904</v>
      </c>
      <c r="C116">
        <v>47920896</v>
      </c>
      <c r="D116">
        <v>121548</v>
      </c>
      <c r="E116">
        <v>1</v>
      </c>
      <c r="F116">
        <v>1</v>
      </c>
      <c r="G116">
        <v>1</v>
      </c>
      <c r="H116">
        <v>1</v>
      </c>
      <c r="I116" t="s">
        <v>26</v>
      </c>
      <c r="J116" t="s">
        <v>3</v>
      </c>
      <c r="K116" t="s">
        <v>461</v>
      </c>
      <c r="L116">
        <v>608254</v>
      </c>
      <c r="N116">
        <v>1013</v>
      </c>
      <c r="O116" t="s">
        <v>462</v>
      </c>
      <c r="P116" t="s">
        <v>462</v>
      </c>
      <c r="Q116">
        <v>1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2</v>
      </c>
      <c r="AF116" t="s">
        <v>66</v>
      </c>
      <c r="AG116">
        <v>0</v>
      </c>
      <c r="AH116">
        <v>2</v>
      </c>
      <c r="AI116">
        <v>47920898</v>
      </c>
      <c r="AJ116">
        <v>116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>
      <c r="A117">
        <f>ROW(Source!A95)</f>
        <v>95</v>
      </c>
      <c r="B117">
        <v>47920905</v>
      </c>
      <c r="C117">
        <v>47920896</v>
      </c>
      <c r="D117">
        <v>13560153</v>
      </c>
      <c r="E117">
        <v>1</v>
      </c>
      <c r="F117">
        <v>1</v>
      </c>
      <c r="G117">
        <v>1</v>
      </c>
      <c r="H117">
        <v>3</v>
      </c>
      <c r="I117" t="s">
        <v>556</v>
      </c>
      <c r="J117" t="s">
        <v>557</v>
      </c>
      <c r="K117" t="s">
        <v>558</v>
      </c>
      <c r="L117">
        <v>1346</v>
      </c>
      <c r="N117">
        <v>1009</v>
      </c>
      <c r="O117" t="s">
        <v>219</v>
      </c>
      <c r="P117" t="s">
        <v>219</v>
      </c>
      <c r="Q117">
        <v>1</v>
      </c>
      <c r="X117">
        <v>0.15</v>
      </c>
      <c r="Y117">
        <v>9.5399999999999991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0.15</v>
      </c>
      <c r="AH117">
        <v>2</v>
      </c>
      <c r="AI117">
        <v>47920899</v>
      </c>
      <c r="AJ117">
        <v>117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>
      <c r="A118">
        <f>ROW(Source!A95)</f>
        <v>95</v>
      </c>
      <c r="B118">
        <v>47920906</v>
      </c>
      <c r="C118">
        <v>47920896</v>
      </c>
      <c r="D118">
        <v>13662846</v>
      </c>
      <c r="E118">
        <v>1</v>
      </c>
      <c r="F118">
        <v>1</v>
      </c>
      <c r="G118">
        <v>1</v>
      </c>
      <c r="H118">
        <v>3</v>
      </c>
      <c r="I118" t="s">
        <v>217</v>
      </c>
      <c r="J118" t="s">
        <v>220</v>
      </c>
      <c r="K118" t="s">
        <v>218</v>
      </c>
      <c r="L118">
        <v>1346</v>
      </c>
      <c r="N118">
        <v>1009</v>
      </c>
      <c r="O118" t="s">
        <v>219</v>
      </c>
      <c r="P118" t="s">
        <v>219</v>
      </c>
      <c r="Q118">
        <v>1</v>
      </c>
      <c r="X118">
        <v>0.72</v>
      </c>
      <c r="Y118">
        <v>19.940000000000001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0.72</v>
      </c>
      <c r="AH118">
        <v>2</v>
      </c>
      <c r="AI118">
        <v>47920900</v>
      </c>
      <c r="AJ118">
        <v>118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>
      <c r="A119">
        <f>ROW(Source!A95)</f>
        <v>95</v>
      </c>
      <c r="B119">
        <v>47920907</v>
      </c>
      <c r="C119">
        <v>47920896</v>
      </c>
      <c r="D119">
        <v>13663008</v>
      </c>
      <c r="E119">
        <v>1</v>
      </c>
      <c r="F119">
        <v>1</v>
      </c>
      <c r="G119">
        <v>1</v>
      </c>
      <c r="H119">
        <v>3</v>
      </c>
      <c r="I119" t="s">
        <v>559</v>
      </c>
      <c r="J119" t="s">
        <v>560</v>
      </c>
      <c r="K119" t="s">
        <v>561</v>
      </c>
      <c r="L119">
        <v>1348</v>
      </c>
      <c r="N119">
        <v>1009</v>
      </c>
      <c r="O119" t="s">
        <v>337</v>
      </c>
      <c r="P119" t="s">
        <v>337</v>
      </c>
      <c r="Q119">
        <v>1000</v>
      </c>
      <c r="X119">
        <v>6.0000000000000002E-5</v>
      </c>
      <c r="Y119">
        <v>32178.31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6.0000000000000002E-5</v>
      </c>
      <c r="AH119">
        <v>2</v>
      </c>
      <c r="AI119">
        <v>47920901</v>
      </c>
      <c r="AJ119">
        <v>119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>
      <c r="A120">
        <f>ROW(Source!A95)</f>
        <v>95</v>
      </c>
      <c r="B120">
        <v>47920908</v>
      </c>
      <c r="C120">
        <v>47920896</v>
      </c>
      <c r="D120">
        <v>13758332</v>
      </c>
      <c r="E120">
        <v>1</v>
      </c>
      <c r="F120">
        <v>1</v>
      </c>
      <c r="G120">
        <v>1</v>
      </c>
      <c r="H120">
        <v>3</v>
      </c>
      <c r="I120" t="s">
        <v>509</v>
      </c>
      <c r="J120" t="s">
        <v>510</v>
      </c>
      <c r="K120" t="s">
        <v>511</v>
      </c>
      <c r="L120">
        <v>1374</v>
      </c>
      <c r="N120">
        <v>1013</v>
      </c>
      <c r="O120" t="s">
        <v>512</v>
      </c>
      <c r="P120" t="s">
        <v>512</v>
      </c>
      <c r="Q120">
        <v>1</v>
      </c>
      <c r="X120">
        <v>7.0000000000000007E-2</v>
      </c>
      <c r="Y120">
        <v>1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7.0000000000000007E-2</v>
      </c>
      <c r="AH120">
        <v>2</v>
      </c>
      <c r="AI120">
        <v>47920902</v>
      </c>
      <c r="AJ120">
        <v>120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>
      <c r="A121">
        <f>ROW(Source!A97)</f>
        <v>97</v>
      </c>
      <c r="B121">
        <v>47920922</v>
      </c>
      <c r="C121">
        <v>47920910</v>
      </c>
      <c r="D121">
        <v>9928470</v>
      </c>
      <c r="E121">
        <v>1</v>
      </c>
      <c r="F121">
        <v>1</v>
      </c>
      <c r="G121">
        <v>1</v>
      </c>
      <c r="H121">
        <v>1</v>
      </c>
      <c r="I121" t="s">
        <v>562</v>
      </c>
      <c r="J121" t="s">
        <v>3</v>
      </c>
      <c r="K121" t="s">
        <v>563</v>
      </c>
      <c r="L121">
        <v>1191</v>
      </c>
      <c r="N121">
        <v>1013</v>
      </c>
      <c r="O121" t="s">
        <v>460</v>
      </c>
      <c r="P121" t="s">
        <v>460</v>
      </c>
      <c r="Q121">
        <v>1</v>
      </c>
      <c r="X121">
        <v>1.23</v>
      </c>
      <c r="Y121">
        <v>0</v>
      </c>
      <c r="Z121">
        <v>0</v>
      </c>
      <c r="AA121">
        <v>0</v>
      </c>
      <c r="AB121">
        <v>10.49</v>
      </c>
      <c r="AC121">
        <v>0</v>
      </c>
      <c r="AD121">
        <v>1</v>
      </c>
      <c r="AE121">
        <v>1</v>
      </c>
      <c r="AF121" t="s">
        <v>188</v>
      </c>
      <c r="AG121">
        <v>1.6605000000000001</v>
      </c>
      <c r="AH121">
        <v>2</v>
      </c>
      <c r="AI121">
        <v>47920911</v>
      </c>
      <c r="AJ121">
        <v>121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>
      <c r="A122">
        <f>ROW(Source!A97)</f>
        <v>97</v>
      </c>
      <c r="B122">
        <v>47920923</v>
      </c>
      <c r="C122">
        <v>47920910</v>
      </c>
      <c r="D122">
        <v>121548</v>
      </c>
      <c r="E122">
        <v>1</v>
      </c>
      <c r="F122">
        <v>1</v>
      </c>
      <c r="G122">
        <v>1</v>
      </c>
      <c r="H122">
        <v>1</v>
      </c>
      <c r="I122" t="s">
        <v>26</v>
      </c>
      <c r="J122" t="s">
        <v>3</v>
      </c>
      <c r="K122" t="s">
        <v>461</v>
      </c>
      <c r="L122">
        <v>608254</v>
      </c>
      <c r="N122">
        <v>1013</v>
      </c>
      <c r="O122" t="s">
        <v>462</v>
      </c>
      <c r="P122" t="s">
        <v>462</v>
      </c>
      <c r="Q122">
        <v>1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2</v>
      </c>
      <c r="AF122" t="s">
        <v>188</v>
      </c>
      <c r="AG122">
        <v>0</v>
      </c>
      <c r="AH122">
        <v>2</v>
      </c>
      <c r="AI122">
        <v>47920912</v>
      </c>
      <c r="AJ122">
        <v>122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>
      <c r="A123">
        <f>ROW(Source!A97)</f>
        <v>97</v>
      </c>
      <c r="B123">
        <v>47920924</v>
      </c>
      <c r="C123">
        <v>47920910</v>
      </c>
      <c r="D123">
        <v>13556568</v>
      </c>
      <c r="E123">
        <v>1</v>
      </c>
      <c r="F123">
        <v>1</v>
      </c>
      <c r="G123">
        <v>1</v>
      </c>
      <c r="H123">
        <v>2</v>
      </c>
      <c r="I123" t="s">
        <v>564</v>
      </c>
      <c r="J123" t="s">
        <v>565</v>
      </c>
      <c r="K123" t="s">
        <v>566</v>
      </c>
      <c r="L123">
        <v>1368</v>
      </c>
      <c r="N123">
        <v>1011</v>
      </c>
      <c r="O123" t="s">
        <v>468</v>
      </c>
      <c r="P123" t="s">
        <v>468</v>
      </c>
      <c r="Q123">
        <v>1</v>
      </c>
      <c r="X123">
        <v>0.06</v>
      </c>
      <c r="Y123">
        <v>0</v>
      </c>
      <c r="Z123">
        <v>2.44</v>
      </c>
      <c r="AA123">
        <v>0</v>
      </c>
      <c r="AB123">
        <v>0</v>
      </c>
      <c r="AC123">
        <v>0</v>
      </c>
      <c r="AD123">
        <v>1</v>
      </c>
      <c r="AE123">
        <v>0</v>
      </c>
      <c r="AF123" t="s">
        <v>188</v>
      </c>
      <c r="AG123">
        <v>8.1000000000000003E-2</v>
      </c>
      <c r="AH123">
        <v>2</v>
      </c>
      <c r="AI123">
        <v>47920913</v>
      </c>
      <c r="AJ123">
        <v>123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>
      <c r="A124">
        <f>ROW(Source!A97)</f>
        <v>97</v>
      </c>
      <c r="B124">
        <v>47920925</v>
      </c>
      <c r="C124">
        <v>47920910</v>
      </c>
      <c r="D124">
        <v>13556760</v>
      </c>
      <c r="E124">
        <v>1</v>
      </c>
      <c r="F124">
        <v>1</v>
      </c>
      <c r="G124">
        <v>1</v>
      </c>
      <c r="H124">
        <v>2</v>
      </c>
      <c r="I124" t="s">
        <v>567</v>
      </c>
      <c r="J124" t="s">
        <v>568</v>
      </c>
      <c r="K124" t="s">
        <v>569</v>
      </c>
      <c r="L124">
        <v>1368</v>
      </c>
      <c r="N124">
        <v>1011</v>
      </c>
      <c r="O124" t="s">
        <v>468</v>
      </c>
      <c r="P124" t="s">
        <v>468</v>
      </c>
      <c r="Q124">
        <v>1</v>
      </c>
      <c r="X124">
        <v>0.1</v>
      </c>
      <c r="Y124">
        <v>0</v>
      </c>
      <c r="Z124">
        <v>1.34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188</v>
      </c>
      <c r="AG124">
        <v>0.13500000000000001</v>
      </c>
      <c r="AH124">
        <v>2</v>
      </c>
      <c r="AI124">
        <v>47920914</v>
      </c>
      <c r="AJ124">
        <v>124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>
      <c r="A125">
        <f>ROW(Source!A97)</f>
        <v>97</v>
      </c>
      <c r="B125">
        <v>47920926</v>
      </c>
      <c r="C125">
        <v>47920910</v>
      </c>
      <c r="D125">
        <v>13560112</v>
      </c>
      <c r="E125">
        <v>1</v>
      </c>
      <c r="F125">
        <v>1</v>
      </c>
      <c r="G125">
        <v>1</v>
      </c>
      <c r="H125">
        <v>3</v>
      </c>
      <c r="I125" t="s">
        <v>570</v>
      </c>
      <c r="J125" t="s">
        <v>571</v>
      </c>
      <c r="K125" t="s">
        <v>572</v>
      </c>
      <c r="L125">
        <v>1346</v>
      </c>
      <c r="N125">
        <v>1009</v>
      </c>
      <c r="O125" t="s">
        <v>219</v>
      </c>
      <c r="P125" t="s">
        <v>219</v>
      </c>
      <c r="Q125">
        <v>1</v>
      </c>
      <c r="X125">
        <v>8.0000000000000002E-3</v>
      </c>
      <c r="Y125">
        <v>35.93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F125" t="s">
        <v>3</v>
      </c>
      <c r="AG125">
        <v>8.0000000000000002E-3</v>
      </c>
      <c r="AH125">
        <v>2</v>
      </c>
      <c r="AI125">
        <v>47920915</v>
      </c>
      <c r="AJ125">
        <v>125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>
      <c r="A126">
        <f>ROW(Source!A97)</f>
        <v>97</v>
      </c>
      <c r="B126">
        <v>47920927</v>
      </c>
      <c r="C126">
        <v>47920910</v>
      </c>
      <c r="D126">
        <v>13560429</v>
      </c>
      <c r="E126">
        <v>1</v>
      </c>
      <c r="F126">
        <v>1</v>
      </c>
      <c r="G126">
        <v>1</v>
      </c>
      <c r="H126">
        <v>3</v>
      </c>
      <c r="I126" t="s">
        <v>573</v>
      </c>
      <c r="J126" t="s">
        <v>574</v>
      </c>
      <c r="K126" t="s">
        <v>575</v>
      </c>
      <c r="L126">
        <v>1346</v>
      </c>
      <c r="N126">
        <v>1009</v>
      </c>
      <c r="O126" t="s">
        <v>219</v>
      </c>
      <c r="P126" t="s">
        <v>219</v>
      </c>
      <c r="Q126">
        <v>1</v>
      </c>
      <c r="X126">
        <v>2E-3</v>
      </c>
      <c r="Y126">
        <v>17.68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2E-3</v>
      </c>
      <c r="AH126">
        <v>2</v>
      </c>
      <c r="AI126">
        <v>47920916</v>
      </c>
      <c r="AJ126">
        <v>126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>
      <c r="A127">
        <f>ROW(Source!A97)</f>
        <v>97</v>
      </c>
      <c r="B127">
        <v>47920928</v>
      </c>
      <c r="C127">
        <v>47920910</v>
      </c>
      <c r="D127">
        <v>13560442</v>
      </c>
      <c r="E127">
        <v>1</v>
      </c>
      <c r="F127">
        <v>1</v>
      </c>
      <c r="G127">
        <v>1</v>
      </c>
      <c r="H127">
        <v>3</v>
      </c>
      <c r="I127" t="s">
        <v>576</v>
      </c>
      <c r="J127" t="s">
        <v>577</v>
      </c>
      <c r="K127" t="s">
        <v>578</v>
      </c>
      <c r="L127">
        <v>1346</v>
      </c>
      <c r="N127">
        <v>1009</v>
      </c>
      <c r="O127" t="s">
        <v>219</v>
      </c>
      <c r="P127" t="s">
        <v>219</v>
      </c>
      <c r="Q127">
        <v>1</v>
      </c>
      <c r="X127">
        <v>0.20799999999999999</v>
      </c>
      <c r="Y127">
        <v>8.84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0</v>
      </c>
      <c r="AF127" t="s">
        <v>3</v>
      </c>
      <c r="AG127">
        <v>0.20799999999999999</v>
      </c>
      <c r="AH127">
        <v>2</v>
      </c>
      <c r="AI127">
        <v>47920917</v>
      </c>
      <c r="AJ127">
        <v>127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>
      <c r="A128">
        <f>ROW(Source!A97)</f>
        <v>97</v>
      </c>
      <c r="B128">
        <v>47920929</v>
      </c>
      <c r="C128">
        <v>47920910</v>
      </c>
      <c r="D128">
        <v>13560926</v>
      </c>
      <c r="E128">
        <v>1</v>
      </c>
      <c r="F128">
        <v>1</v>
      </c>
      <c r="G128">
        <v>1</v>
      </c>
      <c r="H128">
        <v>3</v>
      </c>
      <c r="I128" t="s">
        <v>579</v>
      </c>
      <c r="J128" t="s">
        <v>580</v>
      </c>
      <c r="K128" t="s">
        <v>581</v>
      </c>
      <c r="L128">
        <v>1346</v>
      </c>
      <c r="N128">
        <v>1009</v>
      </c>
      <c r="O128" t="s">
        <v>219</v>
      </c>
      <c r="P128" t="s">
        <v>219</v>
      </c>
      <c r="Q128">
        <v>1</v>
      </c>
      <c r="X128">
        <v>1E-3</v>
      </c>
      <c r="Y128">
        <v>158.87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0</v>
      </c>
      <c r="AF128" t="s">
        <v>3</v>
      </c>
      <c r="AG128">
        <v>1E-3</v>
      </c>
      <c r="AH128">
        <v>2</v>
      </c>
      <c r="AI128">
        <v>47920918</v>
      </c>
      <c r="AJ128">
        <v>128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>
      <c r="A129">
        <f>ROW(Source!A97)</f>
        <v>97</v>
      </c>
      <c r="B129">
        <v>47920930</v>
      </c>
      <c r="C129">
        <v>47920910</v>
      </c>
      <c r="D129">
        <v>13561108</v>
      </c>
      <c r="E129">
        <v>1</v>
      </c>
      <c r="F129">
        <v>1</v>
      </c>
      <c r="G129">
        <v>1</v>
      </c>
      <c r="H129">
        <v>3</v>
      </c>
      <c r="I129" t="s">
        <v>582</v>
      </c>
      <c r="J129" t="s">
        <v>583</v>
      </c>
      <c r="K129" t="s">
        <v>584</v>
      </c>
      <c r="L129">
        <v>1346</v>
      </c>
      <c r="N129">
        <v>1009</v>
      </c>
      <c r="O129" t="s">
        <v>219</v>
      </c>
      <c r="P129" t="s">
        <v>219</v>
      </c>
      <c r="Q129">
        <v>1</v>
      </c>
      <c r="X129">
        <v>0.02</v>
      </c>
      <c r="Y129">
        <v>36.29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0</v>
      </c>
      <c r="AF129" t="s">
        <v>3</v>
      </c>
      <c r="AG129">
        <v>0.02</v>
      </c>
      <c r="AH129">
        <v>2</v>
      </c>
      <c r="AI129">
        <v>47920919</v>
      </c>
      <c r="AJ129">
        <v>129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>
      <c r="A130">
        <f>ROW(Source!A97)</f>
        <v>97</v>
      </c>
      <c r="B130">
        <v>47920931</v>
      </c>
      <c r="C130">
        <v>47920910</v>
      </c>
      <c r="D130">
        <v>13663279</v>
      </c>
      <c r="E130">
        <v>1</v>
      </c>
      <c r="F130">
        <v>1</v>
      </c>
      <c r="G130">
        <v>1</v>
      </c>
      <c r="H130">
        <v>3</v>
      </c>
      <c r="I130" t="s">
        <v>585</v>
      </c>
      <c r="J130" t="s">
        <v>586</v>
      </c>
      <c r="K130" t="s">
        <v>587</v>
      </c>
      <c r="L130">
        <v>1346</v>
      </c>
      <c r="N130">
        <v>1009</v>
      </c>
      <c r="O130" t="s">
        <v>219</v>
      </c>
      <c r="P130" t="s">
        <v>219</v>
      </c>
      <c r="Q130">
        <v>1</v>
      </c>
      <c r="X130">
        <v>5.0000000000000001E-3</v>
      </c>
      <c r="Y130">
        <v>53.7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v>0</v>
      </c>
      <c r="AF130" t="s">
        <v>3</v>
      </c>
      <c r="AG130">
        <v>5.0000000000000001E-3</v>
      </c>
      <c r="AH130">
        <v>2</v>
      </c>
      <c r="AI130">
        <v>47920920</v>
      </c>
      <c r="AJ130">
        <v>130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>
      <c r="A131">
        <f>ROW(Source!A97)</f>
        <v>97</v>
      </c>
      <c r="B131">
        <v>47920932</v>
      </c>
      <c r="C131">
        <v>47920910</v>
      </c>
      <c r="D131">
        <v>13758332</v>
      </c>
      <c r="E131">
        <v>1</v>
      </c>
      <c r="F131">
        <v>1</v>
      </c>
      <c r="G131">
        <v>1</v>
      </c>
      <c r="H131">
        <v>3</v>
      </c>
      <c r="I131" t="s">
        <v>509</v>
      </c>
      <c r="J131" t="s">
        <v>510</v>
      </c>
      <c r="K131" t="s">
        <v>511</v>
      </c>
      <c r="L131">
        <v>1374</v>
      </c>
      <c r="N131">
        <v>1013</v>
      </c>
      <c r="O131" t="s">
        <v>512</v>
      </c>
      <c r="P131" t="s">
        <v>512</v>
      </c>
      <c r="Q131">
        <v>1</v>
      </c>
      <c r="X131">
        <v>0.26</v>
      </c>
      <c r="Y131">
        <v>1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3</v>
      </c>
      <c r="AG131">
        <v>0.26</v>
      </c>
      <c r="AH131">
        <v>2</v>
      </c>
      <c r="AI131">
        <v>47920921</v>
      </c>
      <c r="AJ131">
        <v>131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>
      <c r="A132">
        <f>ROW(Source!A142)</f>
        <v>142</v>
      </c>
      <c r="B132">
        <v>47921077</v>
      </c>
      <c r="C132">
        <v>47921068</v>
      </c>
      <c r="D132">
        <v>9915216</v>
      </c>
      <c r="E132">
        <v>1</v>
      </c>
      <c r="F132">
        <v>1</v>
      </c>
      <c r="G132">
        <v>1</v>
      </c>
      <c r="H132">
        <v>1</v>
      </c>
      <c r="I132" t="s">
        <v>588</v>
      </c>
      <c r="J132" t="s">
        <v>3</v>
      </c>
      <c r="K132" t="s">
        <v>589</v>
      </c>
      <c r="L132">
        <v>1191</v>
      </c>
      <c r="N132">
        <v>1013</v>
      </c>
      <c r="O132" t="s">
        <v>460</v>
      </c>
      <c r="P132" t="s">
        <v>460</v>
      </c>
      <c r="Q132">
        <v>1</v>
      </c>
      <c r="X132">
        <v>9.9700000000000006</v>
      </c>
      <c r="Y132">
        <v>0</v>
      </c>
      <c r="Z132">
        <v>0</v>
      </c>
      <c r="AA132">
        <v>0</v>
      </c>
      <c r="AB132">
        <v>10.07</v>
      </c>
      <c r="AC132">
        <v>0</v>
      </c>
      <c r="AD132">
        <v>1</v>
      </c>
      <c r="AE132">
        <v>1</v>
      </c>
      <c r="AF132" t="s">
        <v>3</v>
      </c>
      <c r="AG132">
        <v>9.9700000000000006</v>
      </c>
      <c r="AH132">
        <v>2</v>
      </c>
      <c r="AI132">
        <v>47921069</v>
      </c>
      <c r="AJ132">
        <v>132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>
      <c r="A133">
        <f>ROW(Source!A142)</f>
        <v>142</v>
      </c>
      <c r="B133">
        <v>47921078</v>
      </c>
      <c r="C133">
        <v>47921068</v>
      </c>
      <c r="D133">
        <v>121548</v>
      </c>
      <c r="E133">
        <v>1</v>
      </c>
      <c r="F133">
        <v>1</v>
      </c>
      <c r="G133">
        <v>1</v>
      </c>
      <c r="H133">
        <v>1</v>
      </c>
      <c r="I133" t="s">
        <v>26</v>
      </c>
      <c r="J133" t="s">
        <v>3</v>
      </c>
      <c r="K133" t="s">
        <v>461</v>
      </c>
      <c r="L133">
        <v>608254</v>
      </c>
      <c r="N133">
        <v>1013</v>
      </c>
      <c r="O133" t="s">
        <v>462</v>
      </c>
      <c r="P133" t="s">
        <v>462</v>
      </c>
      <c r="Q133">
        <v>1</v>
      </c>
      <c r="X133">
        <v>10.01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2</v>
      </c>
      <c r="AF133" t="s">
        <v>3</v>
      </c>
      <c r="AG133">
        <v>10.01</v>
      </c>
      <c r="AH133">
        <v>2</v>
      </c>
      <c r="AI133">
        <v>47921070</v>
      </c>
      <c r="AJ133">
        <v>133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>
      <c r="A134">
        <f>ROW(Source!A142)</f>
        <v>142</v>
      </c>
      <c r="B134">
        <v>47921079</v>
      </c>
      <c r="C134">
        <v>47921068</v>
      </c>
      <c r="D134">
        <v>13554563</v>
      </c>
      <c r="E134">
        <v>1</v>
      </c>
      <c r="F134">
        <v>1</v>
      </c>
      <c r="G134">
        <v>1</v>
      </c>
      <c r="H134">
        <v>2</v>
      </c>
      <c r="I134" t="s">
        <v>590</v>
      </c>
      <c r="J134" t="s">
        <v>591</v>
      </c>
      <c r="K134" t="s">
        <v>592</v>
      </c>
      <c r="L134">
        <v>1368</v>
      </c>
      <c r="N134">
        <v>1011</v>
      </c>
      <c r="O134" t="s">
        <v>468</v>
      </c>
      <c r="P134" t="s">
        <v>468</v>
      </c>
      <c r="Q134">
        <v>1</v>
      </c>
      <c r="X134">
        <v>1.42</v>
      </c>
      <c r="Y134">
        <v>0</v>
      </c>
      <c r="Z134">
        <v>129.74</v>
      </c>
      <c r="AA134">
        <v>13.12</v>
      </c>
      <c r="AB134">
        <v>0</v>
      </c>
      <c r="AC134">
        <v>0</v>
      </c>
      <c r="AD134">
        <v>1</v>
      </c>
      <c r="AE134">
        <v>0</v>
      </c>
      <c r="AF134" t="s">
        <v>3</v>
      </c>
      <c r="AG134">
        <v>1.42</v>
      </c>
      <c r="AH134">
        <v>2</v>
      </c>
      <c r="AI134">
        <v>47921071</v>
      </c>
      <c r="AJ134">
        <v>134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>
      <c r="A135">
        <f>ROW(Source!A142)</f>
        <v>142</v>
      </c>
      <c r="B135">
        <v>47921080</v>
      </c>
      <c r="C135">
        <v>47921068</v>
      </c>
      <c r="D135">
        <v>13554783</v>
      </c>
      <c r="E135">
        <v>1</v>
      </c>
      <c r="F135">
        <v>1</v>
      </c>
      <c r="G135">
        <v>1</v>
      </c>
      <c r="H135">
        <v>2</v>
      </c>
      <c r="I135" t="s">
        <v>593</v>
      </c>
      <c r="J135" t="s">
        <v>594</v>
      </c>
      <c r="K135" t="s">
        <v>595</v>
      </c>
      <c r="L135">
        <v>1368</v>
      </c>
      <c r="N135">
        <v>1011</v>
      </c>
      <c r="O135" t="s">
        <v>468</v>
      </c>
      <c r="P135" t="s">
        <v>468</v>
      </c>
      <c r="Q135">
        <v>1</v>
      </c>
      <c r="X135">
        <v>0.63</v>
      </c>
      <c r="Y135">
        <v>0</v>
      </c>
      <c r="Z135">
        <v>0.7</v>
      </c>
      <c r="AA135">
        <v>0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0.63</v>
      </c>
      <c r="AH135">
        <v>2</v>
      </c>
      <c r="AI135">
        <v>47921072</v>
      </c>
      <c r="AJ135">
        <v>135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>
      <c r="A136">
        <f>ROW(Source!A142)</f>
        <v>142</v>
      </c>
      <c r="B136">
        <v>47921081</v>
      </c>
      <c r="C136">
        <v>47921068</v>
      </c>
      <c r="D136">
        <v>13554786</v>
      </c>
      <c r="E136">
        <v>1</v>
      </c>
      <c r="F136">
        <v>1</v>
      </c>
      <c r="G136">
        <v>1</v>
      </c>
      <c r="H136">
        <v>2</v>
      </c>
      <c r="I136" t="s">
        <v>480</v>
      </c>
      <c r="J136" t="s">
        <v>481</v>
      </c>
      <c r="K136" t="s">
        <v>482</v>
      </c>
      <c r="L136">
        <v>1368</v>
      </c>
      <c r="N136">
        <v>1011</v>
      </c>
      <c r="O136" t="s">
        <v>468</v>
      </c>
      <c r="P136" t="s">
        <v>468</v>
      </c>
      <c r="Q136">
        <v>1</v>
      </c>
      <c r="X136">
        <v>0.5</v>
      </c>
      <c r="Y136">
        <v>0</v>
      </c>
      <c r="Z136">
        <v>30.69</v>
      </c>
      <c r="AA136">
        <v>11.28</v>
      </c>
      <c r="AB136">
        <v>0</v>
      </c>
      <c r="AC136">
        <v>0</v>
      </c>
      <c r="AD136">
        <v>1</v>
      </c>
      <c r="AE136">
        <v>0</v>
      </c>
      <c r="AF136" t="s">
        <v>3</v>
      </c>
      <c r="AG136">
        <v>0.5</v>
      </c>
      <c r="AH136">
        <v>2</v>
      </c>
      <c r="AI136">
        <v>47921073</v>
      </c>
      <c r="AJ136">
        <v>136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>
      <c r="A137">
        <f>ROW(Source!A142)</f>
        <v>142</v>
      </c>
      <c r="B137">
        <v>47921082</v>
      </c>
      <c r="C137">
        <v>47921068</v>
      </c>
      <c r="D137">
        <v>13555345</v>
      </c>
      <c r="E137">
        <v>1</v>
      </c>
      <c r="F137">
        <v>1</v>
      </c>
      <c r="G137">
        <v>1</v>
      </c>
      <c r="H137">
        <v>2</v>
      </c>
      <c r="I137" t="s">
        <v>596</v>
      </c>
      <c r="J137" t="s">
        <v>597</v>
      </c>
      <c r="K137" t="s">
        <v>598</v>
      </c>
      <c r="L137">
        <v>1368</v>
      </c>
      <c r="N137">
        <v>1011</v>
      </c>
      <c r="O137" t="s">
        <v>468</v>
      </c>
      <c r="P137" t="s">
        <v>468</v>
      </c>
      <c r="Q137">
        <v>1</v>
      </c>
      <c r="X137">
        <v>0.59</v>
      </c>
      <c r="Y137">
        <v>0</v>
      </c>
      <c r="Z137">
        <v>134.79</v>
      </c>
      <c r="AA137">
        <v>11.28</v>
      </c>
      <c r="AB137">
        <v>0</v>
      </c>
      <c r="AC137">
        <v>0</v>
      </c>
      <c r="AD137">
        <v>1</v>
      </c>
      <c r="AE137">
        <v>0</v>
      </c>
      <c r="AF137" t="s">
        <v>3</v>
      </c>
      <c r="AG137">
        <v>0.59</v>
      </c>
      <c r="AH137">
        <v>2</v>
      </c>
      <c r="AI137">
        <v>47921074</v>
      </c>
      <c r="AJ137">
        <v>137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>
      <c r="A138">
        <f>ROW(Source!A142)</f>
        <v>142</v>
      </c>
      <c r="B138">
        <v>47921083</v>
      </c>
      <c r="C138">
        <v>47921068</v>
      </c>
      <c r="D138">
        <v>13556265</v>
      </c>
      <c r="E138">
        <v>1</v>
      </c>
      <c r="F138">
        <v>1</v>
      </c>
      <c r="G138">
        <v>1</v>
      </c>
      <c r="H138">
        <v>2</v>
      </c>
      <c r="I138" t="s">
        <v>599</v>
      </c>
      <c r="J138" t="s">
        <v>600</v>
      </c>
      <c r="K138" t="s">
        <v>601</v>
      </c>
      <c r="L138">
        <v>1368</v>
      </c>
      <c r="N138">
        <v>1011</v>
      </c>
      <c r="O138" t="s">
        <v>468</v>
      </c>
      <c r="P138" t="s">
        <v>468</v>
      </c>
      <c r="Q138">
        <v>1</v>
      </c>
      <c r="X138">
        <v>7.5</v>
      </c>
      <c r="Y138">
        <v>0</v>
      </c>
      <c r="Z138">
        <v>1657</v>
      </c>
      <c r="AA138">
        <v>14.99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7.5</v>
      </c>
      <c r="AH138">
        <v>2</v>
      </c>
      <c r="AI138">
        <v>47921075</v>
      </c>
      <c r="AJ138">
        <v>138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>
      <c r="A139">
        <f>ROW(Source!A142)</f>
        <v>142</v>
      </c>
      <c r="B139">
        <v>47921084</v>
      </c>
      <c r="C139">
        <v>47921068</v>
      </c>
      <c r="D139">
        <v>13581507</v>
      </c>
      <c r="E139">
        <v>1</v>
      </c>
      <c r="F139">
        <v>1</v>
      </c>
      <c r="G139">
        <v>1</v>
      </c>
      <c r="H139">
        <v>3</v>
      </c>
      <c r="I139" t="s">
        <v>749</v>
      </c>
      <c r="J139" t="s">
        <v>750</v>
      </c>
      <c r="K139" t="s">
        <v>751</v>
      </c>
      <c r="L139">
        <v>1348</v>
      </c>
      <c r="N139">
        <v>1009</v>
      </c>
      <c r="O139" t="s">
        <v>337</v>
      </c>
      <c r="P139" t="s">
        <v>337</v>
      </c>
      <c r="Q139">
        <v>1000</v>
      </c>
      <c r="X139">
        <v>0</v>
      </c>
      <c r="Y139">
        <v>208000</v>
      </c>
      <c r="Z139">
        <v>0</v>
      </c>
      <c r="AA139">
        <v>0</v>
      </c>
      <c r="AB139">
        <v>0</v>
      </c>
      <c r="AC139">
        <v>1</v>
      </c>
      <c r="AD139">
        <v>0</v>
      </c>
      <c r="AE139">
        <v>0</v>
      </c>
      <c r="AF139" t="s">
        <v>3</v>
      </c>
      <c r="AG139">
        <v>0</v>
      </c>
      <c r="AH139">
        <v>3</v>
      </c>
      <c r="AI139">
        <v>-1</v>
      </c>
      <c r="AJ139" t="s">
        <v>3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>
      <c r="A140">
        <f>ROW(Source!A142)</f>
        <v>142</v>
      </c>
      <c r="B140">
        <v>47921085</v>
      </c>
      <c r="C140">
        <v>47921068</v>
      </c>
      <c r="D140">
        <v>13636917</v>
      </c>
      <c r="E140">
        <v>1</v>
      </c>
      <c r="F140">
        <v>1</v>
      </c>
      <c r="G140">
        <v>1</v>
      </c>
      <c r="H140">
        <v>3</v>
      </c>
      <c r="I140" t="s">
        <v>752</v>
      </c>
      <c r="J140" t="s">
        <v>753</v>
      </c>
      <c r="K140" t="s">
        <v>754</v>
      </c>
      <c r="L140">
        <v>1348</v>
      </c>
      <c r="N140">
        <v>1009</v>
      </c>
      <c r="O140" t="s">
        <v>337</v>
      </c>
      <c r="P140" t="s">
        <v>337</v>
      </c>
      <c r="Q140">
        <v>1000</v>
      </c>
      <c r="X140">
        <v>0</v>
      </c>
      <c r="Y140">
        <v>382.4</v>
      </c>
      <c r="Z140">
        <v>0</v>
      </c>
      <c r="AA140">
        <v>0</v>
      </c>
      <c r="AB140">
        <v>0</v>
      </c>
      <c r="AC140">
        <v>1</v>
      </c>
      <c r="AD140">
        <v>0</v>
      </c>
      <c r="AE140">
        <v>0</v>
      </c>
      <c r="AF140" t="s">
        <v>3</v>
      </c>
      <c r="AG140">
        <v>0</v>
      </c>
      <c r="AH140">
        <v>3</v>
      </c>
      <c r="AI140">
        <v>-1</v>
      </c>
      <c r="AJ140" t="s">
        <v>3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>
      <c r="A141">
        <f>ROW(Source!A142)</f>
        <v>142</v>
      </c>
      <c r="B141">
        <v>47921086</v>
      </c>
      <c r="C141">
        <v>47921068</v>
      </c>
      <c r="D141">
        <v>13637754</v>
      </c>
      <c r="E141">
        <v>1</v>
      </c>
      <c r="F141">
        <v>1</v>
      </c>
      <c r="G141">
        <v>1</v>
      </c>
      <c r="H141">
        <v>3</v>
      </c>
      <c r="I141" t="s">
        <v>496</v>
      </c>
      <c r="J141" t="s">
        <v>497</v>
      </c>
      <c r="K141" t="s">
        <v>498</v>
      </c>
      <c r="L141">
        <v>1339</v>
      </c>
      <c r="N141">
        <v>1007</v>
      </c>
      <c r="O141" t="s">
        <v>298</v>
      </c>
      <c r="P141" t="s">
        <v>298</v>
      </c>
      <c r="Q141">
        <v>1</v>
      </c>
      <c r="X141">
        <v>1.53</v>
      </c>
      <c r="Y141">
        <v>6.3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0</v>
      </c>
      <c r="AF141" t="s">
        <v>3</v>
      </c>
      <c r="AG141">
        <v>1.53</v>
      </c>
      <c r="AH141">
        <v>2</v>
      </c>
      <c r="AI141">
        <v>47921076</v>
      </c>
      <c r="AJ141">
        <v>139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>
      <c r="A142">
        <f>ROW(Source!A143)</f>
        <v>143</v>
      </c>
      <c r="B142">
        <v>47921102</v>
      </c>
      <c r="C142">
        <v>47921087</v>
      </c>
      <c r="D142">
        <v>9914991</v>
      </c>
      <c r="E142">
        <v>1</v>
      </c>
      <c r="F142">
        <v>1</v>
      </c>
      <c r="G142">
        <v>1</v>
      </c>
      <c r="H142">
        <v>1</v>
      </c>
      <c r="I142" t="s">
        <v>602</v>
      </c>
      <c r="J142" t="s">
        <v>3</v>
      </c>
      <c r="K142" t="s">
        <v>603</v>
      </c>
      <c r="L142">
        <v>1191</v>
      </c>
      <c r="N142">
        <v>1013</v>
      </c>
      <c r="O142" t="s">
        <v>460</v>
      </c>
      <c r="P142" t="s">
        <v>460</v>
      </c>
      <c r="Q142">
        <v>1</v>
      </c>
      <c r="X142">
        <v>83.71</v>
      </c>
      <c r="Y142">
        <v>0</v>
      </c>
      <c r="Z142">
        <v>0</v>
      </c>
      <c r="AA142">
        <v>0</v>
      </c>
      <c r="AB142">
        <v>9.7799999999999994</v>
      </c>
      <c r="AC142">
        <v>0</v>
      </c>
      <c r="AD142">
        <v>1</v>
      </c>
      <c r="AE142">
        <v>1</v>
      </c>
      <c r="AF142" t="s">
        <v>241</v>
      </c>
      <c r="AG142">
        <v>41.210432999999995</v>
      </c>
      <c r="AH142">
        <v>2</v>
      </c>
      <c r="AI142">
        <v>47921088</v>
      </c>
      <c r="AJ142">
        <v>140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>
      <c r="A143">
        <f>ROW(Source!A143)</f>
        <v>143</v>
      </c>
      <c r="B143">
        <v>47921103</v>
      </c>
      <c r="C143">
        <v>47921087</v>
      </c>
      <c r="D143">
        <v>121548</v>
      </c>
      <c r="E143">
        <v>1</v>
      </c>
      <c r="F143">
        <v>1</v>
      </c>
      <c r="G143">
        <v>1</v>
      </c>
      <c r="H143">
        <v>1</v>
      </c>
      <c r="I143" t="s">
        <v>26</v>
      </c>
      <c r="J143" t="s">
        <v>3</v>
      </c>
      <c r="K143" t="s">
        <v>461</v>
      </c>
      <c r="L143">
        <v>608254</v>
      </c>
      <c r="N143">
        <v>1013</v>
      </c>
      <c r="O143" t="s">
        <v>462</v>
      </c>
      <c r="P143" t="s">
        <v>462</v>
      </c>
      <c r="Q143">
        <v>1</v>
      </c>
      <c r="X143">
        <v>71.78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2</v>
      </c>
      <c r="AF143" t="s">
        <v>241</v>
      </c>
      <c r="AG143">
        <v>35.337294</v>
      </c>
      <c r="AH143">
        <v>2</v>
      </c>
      <c r="AI143">
        <v>47921089</v>
      </c>
      <c r="AJ143">
        <v>141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>
      <c r="A144">
        <f>ROW(Source!A143)</f>
        <v>143</v>
      </c>
      <c r="B144">
        <v>47921104</v>
      </c>
      <c r="C144">
        <v>47921087</v>
      </c>
      <c r="D144">
        <v>13554563</v>
      </c>
      <c r="E144">
        <v>1</v>
      </c>
      <c r="F144">
        <v>1</v>
      </c>
      <c r="G144">
        <v>1</v>
      </c>
      <c r="H144">
        <v>2</v>
      </c>
      <c r="I144" t="s">
        <v>590</v>
      </c>
      <c r="J144" t="s">
        <v>591</v>
      </c>
      <c r="K144" t="s">
        <v>592</v>
      </c>
      <c r="L144">
        <v>1368</v>
      </c>
      <c r="N144">
        <v>1011</v>
      </c>
      <c r="O144" t="s">
        <v>468</v>
      </c>
      <c r="P144" t="s">
        <v>468</v>
      </c>
      <c r="Q144">
        <v>1</v>
      </c>
      <c r="X144">
        <v>7.61</v>
      </c>
      <c r="Y144">
        <v>0</v>
      </c>
      <c r="Z144">
        <v>129.74</v>
      </c>
      <c r="AA144">
        <v>13.12</v>
      </c>
      <c r="AB144">
        <v>0</v>
      </c>
      <c r="AC144">
        <v>0</v>
      </c>
      <c r="AD144">
        <v>1</v>
      </c>
      <c r="AE144">
        <v>0</v>
      </c>
      <c r="AF144" t="s">
        <v>241</v>
      </c>
      <c r="AG144">
        <v>3.7464030000000004</v>
      </c>
      <c r="AH144">
        <v>2</v>
      </c>
      <c r="AI144">
        <v>47921090</v>
      </c>
      <c r="AJ144">
        <v>142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>
      <c r="A145">
        <f>ROW(Source!A143)</f>
        <v>143</v>
      </c>
      <c r="B145">
        <v>47921105</v>
      </c>
      <c r="C145">
        <v>47921087</v>
      </c>
      <c r="D145">
        <v>13554786</v>
      </c>
      <c r="E145">
        <v>1</v>
      </c>
      <c r="F145">
        <v>1</v>
      </c>
      <c r="G145">
        <v>1</v>
      </c>
      <c r="H145">
        <v>2</v>
      </c>
      <c r="I145" t="s">
        <v>480</v>
      </c>
      <c r="J145" t="s">
        <v>481</v>
      </c>
      <c r="K145" t="s">
        <v>482</v>
      </c>
      <c r="L145">
        <v>1368</v>
      </c>
      <c r="N145">
        <v>1011</v>
      </c>
      <c r="O145" t="s">
        <v>468</v>
      </c>
      <c r="P145" t="s">
        <v>468</v>
      </c>
      <c r="Q145">
        <v>1</v>
      </c>
      <c r="X145">
        <v>31.43</v>
      </c>
      <c r="Y145">
        <v>0</v>
      </c>
      <c r="Z145">
        <v>30.69</v>
      </c>
      <c r="AA145">
        <v>11.28</v>
      </c>
      <c r="AB145">
        <v>0</v>
      </c>
      <c r="AC145">
        <v>0</v>
      </c>
      <c r="AD145">
        <v>1</v>
      </c>
      <c r="AE145">
        <v>0</v>
      </c>
      <c r="AF145" t="s">
        <v>241</v>
      </c>
      <c r="AG145">
        <v>15.472989</v>
      </c>
      <c r="AH145">
        <v>2</v>
      </c>
      <c r="AI145">
        <v>47921091</v>
      </c>
      <c r="AJ145">
        <v>143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>
      <c r="A146">
        <f>ROW(Source!A143)</f>
        <v>143</v>
      </c>
      <c r="B146">
        <v>47921106</v>
      </c>
      <c r="C146">
        <v>47921087</v>
      </c>
      <c r="D146">
        <v>13554796</v>
      </c>
      <c r="E146">
        <v>1</v>
      </c>
      <c r="F146">
        <v>1</v>
      </c>
      <c r="G146">
        <v>1</v>
      </c>
      <c r="H146">
        <v>2</v>
      </c>
      <c r="I146" t="s">
        <v>604</v>
      </c>
      <c r="J146" t="s">
        <v>605</v>
      </c>
      <c r="K146" t="s">
        <v>606</v>
      </c>
      <c r="L146">
        <v>1368</v>
      </c>
      <c r="N146">
        <v>1011</v>
      </c>
      <c r="O146" t="s">
        <v>468</v>
      </c>
      <c r="P146" t="s">
        <v>468</v>
      </c>
      <c r="Q146">
        <v>1</v>
      </c>
      <c r="X146">
        <v>22.9</v>
      </c>
      <c r="Y146">
        <v>0</v>
      </c>
      <c r="Z146">
        <v>14.1</v>
      </c>
      <c r="AA146">
        <v>0</v>
      </c>
      <c r="AB146">
        <v>0</v>
      </c>
      <c r="AC146">
        <v>0</v>
      </c>
      <c r="AD146">
        <v>1</v>
      </c>
      <c r="AE146">
        <v>0</v>
      </c>
      <c r="AF146" t="s">
        <v>241</v>
      </c>
      <c r="AG146">
        <v>11.273669999999999</v>
      </c>
      <c r="AH146">
        <v>2</v>
      </c>
      <c r="AI146">
        <v>47921092</v>
      </c>
      <c r="AJ146">
        <v>144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>
      <c r="A147">
        <f>ROW(Source!A143)</f>
        <v>143</v>
      </c>
      <c r="B147">
        <v>47921107</v>
      </c>
      <c r="C147">
        <v>47921087</v>
      </c>
      <c r="D147">
        <v>13554811</v>
      </c>
      <c r="E147">
        <v>1</v>
      </c>
      <c r="F147">
        <v>1</v>
      </c>
      <c r="G147">
        <v>1</v>
      </c>
      <c r="H147">
        <v>2</v>
      </c>
      <c r="I147" t="s">
        <v>607</v>
      </c>
      <c r="J147" t="s">
        <v>608</v>
      </c>
      <c r="K147" t="s">
        <v>609</v>
      </c>
      <c r="L147">
        <v>1368</v>
      </c>
      <c r="N147">
        <v>1011</v>
      </c>
      <c r="O147" t="s">
        <v>468</v>
      </c>
      <c r="P147" t="s">
        <v>468</v>
      </c>
      <c r="Q147">
        <v>1</v>
      </c>
      <c r="X147">
        <v>8.5</v>
      </c>
      <c r="Y147">
        <v>0</v>
      </c>
      <c r="Z147">
        <v>1.58</v>
      </c>
      <c r="AA147">
        <v>0</v>
      </c>
      <c r="AB147">
        <v>0</v>
      </c>
      <c r="AC147">
        <v>0</v>
      </c>
      <c r="AD147">
        <v>1</v>
      </c>
      <c r="AE147">
        <v>0</v>
      </c>
      <c r="AF147" t="s">
        <v>241</v>
      </c>
      <c r="AG147">
        <v>4.1845499999999998</v>
      </c>
      <c r="AH147">
        <v>2</v>
      </c>
      <c r="AI147">
        <v>47921093</v>
      </c>
      <c r="AJ147">
        <v>145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>
      <c r="A148">
        <f>ROW(Source!A143)</f>
        <v>143</v>
      </c>
      <c r="B148">
        <v>47921108</v>
      </c>
      <c r="C148">
        <v>47921087</v>
      </c>
      <c r="D148">
        <v>13554923</v>
      </c>
      <c r="E148">
        <v>1</v>
      </c>
      <c r="F148">
        <v>1</v>
      </c>
      <c r="G148">
        <v>1</v>
      </c>
      <c r="H148">
        <v>2</v>
      </c>
      <c r="I148" t="s">
        <v>610</v>
      </c>
      <c r="J148" t="s">
        <v>611</v>
      </c>
      <c r="K148" t="s">
        <v>612</v>
      </c>
      <c r="L148">
        <v>1368</v>
      </c>
      <c r="N148">
        <v>1011</v>
      </c>
      <c r="O148" t="s">
        <v>468</v>
      </c>
      <c r="P148" t="s">
        <v>468</v>
      </c>
      <c r="Q148">
        <v>1</v>
      </c>
      <c r="X148">
        <v>0.34</v>
      </c>
      <c r="Y148">
        <v>0</v>
      </c>
      <c r="Z148">
        <v>116.86</v>
      </c>
      <c r="AA148">
        <v>11.28</v>
      </c>
      <c r="AB148">
        <v>0</v>
      </c>
      <c r="AC148">
        <v>0</v>
      </c>
      <c r="AD148">
        <v>1</v>
      </c>
      <c r="AE148">
        <v>0</v>
      </c>
      <c r="AF148" t="s">
        <v>241</v>
      </c>
      <c r="AG148">
        <v>0.16738200000000003</v>
      </c>
      <c r="AH148">
        <v>2</v>
      </c>
      <c r="AI148">
        <v>47921094</v>
      </c>
      <c r="AJ148">
        <v>146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>
      <c r="A149">
        <f>ROW(Source!A143)</f>
        <v>143</v>
      </c>
      <c r="B149">
        <v>47921109</v>
      </c>
      <c r="C149">
        <v>47921087</v>
      </c>
      <c r="D149">
        <v>13555345</v>
      </c>
      <c r="E149">
        <v>1</v>
      </c>
      <c r="F149">
        <v>1</v>
      </c>
      <c r="G149">
        <v>1</v>
      </c>
      <c r="H149">
        <v>2</v>
      </c>
      <c r="I149" t="s">
        <v>596</v>
      </c>
      <c r="J149" t="s">
        <v>597</v>
      </c>
      <c r="K149" t="s">
        <v>598</v>
      </c>
      <c r="L149">
        <v>1368</v>
      </c>
      <c r="N149">
        <v>1011</v>
      </c>
      <c r="O149" t="s">
        <v>468</v>
      </c>
      <c r="P149" t="s">
        <v>468</v>
      </c>
      <c r="Q149">
        <v>1</v>
      </c>
      <c r="X149">
        <v>2.4</v>
      </c>
      <c r="Y149">
        <v>0</v>
      </c>
      <c r="Z149">
        <v>134.79</v>
      </c>
      <c r="AA149">
        <v>11.28</v>
      </c>
      <c r="AB149">
        <v>0</v>
      </c>
      <c r="AC149">
        <v>0</v>
      </c>
      <c r="AD149">
        <v>1</v>
      </c>
      <c r="AE149">
        <v>0</v>
      </c>
      <c r="AF149" t="s">
        <v>241</v>
      </c>
      <c r="AG149">
        <v>1.1815199999999999</v>
      </c>
      <c r="AH149">
        <v>2</v>
      </c>
      <c r="AI149">
        <v>47921095</v>
      </c>
      <c r="AJ149">
        <v>147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>
      <c r="A150">
        <f>ROW(Source!A143)</f>
        <v>143</v>
      </c>
      <c r="B150">
        <v>47921110</v>
      </c>
      <c r="C150">
        <v>47921087</v>
      </c>
      <c r="D150">
        <v>13556265</v>
      </c>
      <c r="E150">
        <v>1</v>
      </c>
      <c r="F150">
        <v>1</v>
      </c>
      <c r="G150">
        <v>1</v>
      </c>
      <c r="H150">
        <v>2</v>
      </c>
      <c r="I150" t="s">
        <v>599</v>
      </c>
      <c r="J150" t="s">
        <v>600</v>
      </c>
      <c r="K150" t="s">
        <v>601</v>
      </c>
      <c r="L150">
        <v>1368</v>
      </c>
      <c r="N150">
        <v>1011</v>
      </c>
      <c r="O150" t="s">
        <v>468</v>
      </c>
      <c r="P150" t="s">
        <v>468</v>
      </c>
      <c r="Q150">
        <v>1</v>
      </c>
      <c r="X150">
        <v>30</v>
      </c>
      <c r="Y150">
        <v>0</v>
      </c>
      <c r="Z150">
        <v>1657</v>
      </c>
      <c r="AA150">
        <v>14.99</v>
      </c>
      <c r="AB150">
        <v>0</v>
      </c>
      <c r="AC150">
        <v>0</v>
      </c>
      <c r="AD150">
        <v>1</v>
      </c>
      <c r="AE150">
        <v>0</v>
      </c>
      <c r="AF150" t="s">
        <v>241</v>
      </c>
      <c r="AG150">
        <v>14.769</v>
      </c>
      <c r="AH150">
        <v>2</v>
      </c>
      <c r="AI150">
        <v>47921096</v>
      </c>
      <c r="AJ150">
        <v>148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>
      <c r="A151">
        <f>ROW(Source!A143)</f>
        <v>143</v>
      </c>
      <c r="B151">
        <v>47921111</v>
      </c>
      <c r="C151">
        <v>47921087</v>
      </c>
      <c r="D151">
        <v>13556990</v>
      </c>
      <c r="E151">
        <v>1</v>
      </c>
      <c r="F151">
        <v>1</v>
      </c>
      <c r="G151">
        <v>1</v>
      </c>
      <c r="H151">
        <v>2</v>
      </c>
      <c r="I151" t="s">
        <v>613</v>
      </c>
      <c r="J151" t="s">
        <v>614</v>
      </c>
      <c r="K151" t="s">
        <v>615</v>
      </c>
      <c r="L151">
        <v>1368</v>
      </c>
      <c r="N151">
        <v>1011</v>
      </c>
      <c r="O151" t="s">
        <v>468</v>
      </c>
      <c r="P151" t="s">
        <v>468</v>
      </c>
      <c r="Q151">
        <v>1</v>
      </c>
      <c r="X151">
        <v>0.34</v>
      </c>
      <c r="Y151">
        <v>0</v>
      </c>
      <c r="Z151">
        <v>110.68</v>
      </c>
      <c r="AA151">
        <v>0</v>
      </c>
      <c r="AB151">
        <v>0</v>
      </c>
      <c r="AC151">
        <v>0</v>
      </c>
      <c r="AD151">
        <v>1</v>
      </c>
      <c r="AE151">
        <v>0</v>
      </c>
      <c r="AF151" t="s">
        <v>241</v>
      </c>
      <c r="AG151">
        <v>0.16738200000000003</v>
      </c>
      <c r="AH151">
        <v>2</v>
      </c>
      <c r="AI151">
        <v>47921097</v>
      </c>
      <c r="AJ151">
        <v>149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>
      <c r="A152">
        <f>ROW(Source!A143)</f>
        <v>143</v>
      </c>
      <c r="B152">
        <v>47921112</v>
      </c>
      <c r="C152">
        <v>47921087</v>
      </c>
      <c r="D152">
        <v>13558247</v>
      </c>
      <c r="E152">
        <v>1</v>
      </c>
      <c r="F152">
        <v>1</v>
      </c>
      <c r="G152">
        <v>1</v>
      </c>
      <c r="H152">
        <v>3</v>
      </c>
      <c r="I152" t="s">
        <v>616</v>
      </c>
      <c r="J152" t="s">
        <v>617</v>
      </c>
      <c r="K152" t="s">
        <v>618</v>
      </c>
      <c r="L152">
        <v>1339</v>
      </c>
      <c r="N152">
        <v>1007</v>
      </c>
      <c r="O152" t="s">
        <v>298</v>
      </c>
      <c r="P152" t="s">
        <v>298</v>
      </c>
      <c r="Q152">
        <v>1</v>
      </c>
      <c r="X152">
        <v>5.62</v>
      </c>
      <c r="Y152">
        <v>6.85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0</v>
      </c>
      <c r="AF152" t="s">
        <v>3</v>
      </c>
      <c r="AG152">
        <v>5.62</v>
      </c>
      <c r="AH152">
        <v>2</v>
      </c>
      <c r="AI152">
        <v>47921098</v>
      </c>
      <c r="AJ152">
        <v>150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>
      <c r="A153">
        <f>ROW(Source!A143)</f>
        <v>143</v>
      </c>
      <c r="B153">
        <v>47921113</v>
      </c>
      <c r="C153">
        <v>47921087</v>
      </c>
      <c r="D153">
        <v>13559933</v>
      </c>
      <c r="E153">
        <v>1</v>
      </c>
      <c r="F153">
        <v>1</v>
      </c>
      <c r="G153">
        <v>1</v>
      </c>
      <c r="H153">
        <v>3</v>
      </c>
      <c r="I153" t="s">
        <v>619</v>
      </c>
      <c r="J153" t="s">
        <v>620</v>
      </c>
      <c r="K153" t="s">
        <v>621</v>
      </c>
      <c r="L153">
        <v>1348</v>
      </c>
      <c r="N153">
        <v>1009</v>
      </c>
      <c r="O153" t="s">
        <v>337</v>
      </c>
      <c r="P153" t="s">
        <v>337</v>
      </c>
      <c r="Q153">
        <v>1000</v>
      </c>
      <c r="X153">
        <v>3.6799999999999999E-2</v>
      </c>
      <c r="Y153">
        <v>15035.48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0</v>
      </c>
      <c r="AF153" t="s">
        <v>3</v>
      </c>
      <c r="AG153">
        <v>3.6799999999999999E-2</v>
      </c>
      <c r="AH153">
        <v>2</v>
      </c>
      <c r="AI153">
        <v>47921099</v>
      </c>
      <c r="AJ153">
        <v>151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>
      <c r="A154">
        <f>ROW(Source!A143)</f>
        <v>143</v>
      </c>
      <c r="B154">
        <v>47921114</v>
      </c>
      <c r="C154">
        <v>47921087</v>
      </c>
      <c r="D154">
        <v>13560009</v>
      </c>
      <c r="E154">
        <v>1</v>
      </c>
      <c r="F154">
        <v>1</v>
      </c>
      <c r="G154">
        <v>1</v>
      </c>
      <c r="H154">
        <v>3</v>
      </c>
      <c r="I154" t="s">
        <v>622</v>
      </c>
      <c r="J154" t="s">
        <v>623</v>
      </c>
      <c r="K154" t="s">
        <v>624</v>
      </c>
      <c r="L154">
        <v>1339</v>
      </c>
      <c r="N154">
        <v>1007</v>
      </c>
      <c r="O154" t="s">
        <v>298</v>
      </c>
      <c r="P154" t="s">
        <v>298</v>
      </c>
      <c r="Q154">
        <v>1</v>
      </c>
      <c r="X154">
        <v>1.88</v>
      </c>
      <c r="Y154">
        <v>18</v>
      </c>
      <c r="Z154">
        <v>0</v>
      </c>
      <c r="AA154">
        <v>0</v>
      </c>
      <c r="AB154">
        <v>0</v>
      </c>
      <c r="AC154">
        <v>0</v>
      </c>
      <c r="AD154">
        <v>1</v>
      </c>
      <c r="AE154">
        <v>0</v>
      </c>
      <c r="AF154" t="s">
        <v>3</v>
      </c>
      <c r="AG154">
        <v>1.88</v>
      </c>
      <c r="AH154">
        <v>2</v>
      </c>
      <c r="AI154">
        <v>47921100</v>
      </c>
      <c r="AJ154">
        <v>152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>
      <c r="A155">
        <f>ROW(Source!A143)</f>
        <v>143</v>
      </c>
      <c r="B155">
        <v>47921115</v>
      </c>
      <c r="C155">
        <v>47921087</v>
      </c>
      <c r="D155">
        <v>13576773</v>
      </c>
      <c r="E155">
        <v>1</v>
      </c>
      <c r="F155">
        <v>1</v>
      </c>
      <c r="G155">
        <v>1</v>
      </c>
      <c r="H155">
        <v>3</v>
      </c>
      <c r="I155" t="s">
        <v>755</v>
      </c>
      <c r="J155" t="s">
        <v>756</v>
      </c>
      <c r="K155" t="s">
        <v>757</v>
      </c>
      <c r="L155">
        <v>1301</v>
      </c>
      <c r="N155">
        <v>1003</v>
      </c>
      <c r="O155" t="s">
        <v>354</v>
      </c>
      <c r="P155" t="s">
        <v>354</v>
      </c>
      <c r="Q155">
        <v>1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1</v>
      </c>
      <c r="AD155">
        <v>0</v>
      </c>
      <c r="AE155">
        <v>0</v>
      </c>
      <c r="AF155" t="s">
        <v>3</v>
      </c>
      <c r="AG155">
        <v>0</v>
      </c>
      <c r="AH155">
        <v>3</v>
      </c>
      <c r="AI155">
        <v>-1</v>
      </c>
      <c r="AJ155" t="s">
        <v>3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>
      <c r="A156">
        <f>ROW(Source!A143)</f>
        <v>143</v>
      </c>
      <c r="B156">
        <v>47921116</v>
      </c>
      <c r="C156">
        <v>47921087</v>
      </c>
      <c r="D156">
        <v>13581507</v>
      </c>
      <c r="E156">
        <v>1</v>
      </c>
      <c r="F156">
        <v>1</v>
      </c>
      <c r="G156">
        <v>1</v>
      </c>
      <c r="H156">
        <v>3</v>
      </c>
      <c r="I156" t="s">
        <v>749</v>
      </c>
      <c r="J156" t="s">
        <v>750</v>
      </c>
      <c r="K156" t="s">
        <v>751</v>
      </c>
      <c r="L156">
        <v>1348</v>
      </c>
      <c r="N156">
        <v>1009</v>
      </c>
      <c r="O156" t="s">
        <v>337</v>
      </c>
      <c r="P156" t="s">
        <v>337</v>
      </c>
      <c r="Q156">
        <v>1000</v>
      </c>
      <c r="X156">
        <v>0</v>
      </c>
      <c r="Y156">
        <v>208000</v>
      </c>
      <c r="Z156">
        <v>0</v>
      </c>
      <c r="AA156">
        <v>0</v>
      </c>
      <c r="AB156">
        <v>0</v>
      </c>
      <c r="AC156">
        <v>1</v>
      </c>
      <c r="AD156">
        <v>0</v>
      </c>
      <c r="AE156">
        <v>0</v>
      </c>
      <c r="AF156" t="s">
        <v>3</v>
      </c>
      <c r="AG156">
        <v>0</v>
      </c>
      <c r="AH156">
        <v>3</v>
      </c>
      <c r="AI156">
        <v>-1</v>
      </c>
      <c r="AJ156" t="s">
        <v>3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>
      <c r="A157">
        <f>ROW(Source!A143)</f>
        <v>143</v>
      </c>
      <c r="B157">
        <v>47921117</v>
      </c>
      <c r="C157">
        <v>47921087</v>
      </c>
      <c r="D157">
        <v>13636917</v>
      </c>
      <c r="E157">
        <v>1</v>
      </c>
      <c r="F157">
        <v>1</v>
      </c>
      <c r="G157">
        <v>1</v>
      </c>
      <c r="H157">
        <v>3</v>
      </c>
      <c r="I157" t="s">
        <v>752</v>
      </c>
      <c r="J157" t="s">
        <v>753</v>
      </c>
      <c r="K157" t="s">
        <v>754</v>
      </c>
      <c r="L157">
        <v>1348</v>
      </c>
      <c r="N157">
        <v>1009</v>
      </c>
      <c r="O157" t="s">
        <v>337</v>
      </c>
      <c r="P157" t="s">
        <v>337</v>
      </c>
      <c r="Q157">
        <v>1000</v>
      </c>
      <c r="X157">
        <v>0</v>
      </c>
      <c r="Y157">
        <v>382.4</v>
      </c>
      <c r="Z157">
        <v>0</v>
      </c>
      <c r="AA157">
        <v>0</v>
      </c>
      <c r="AB157">
        <v>0</v>
      </c>
      <c r="AC157">
        <v>1</v>
      </c>
      <c r="AD157">
        <v>0</v>
      </c>
      <c r="AE157">
        <v>0</v>
      </c>
      <c r="AF157" t="s">
        <v>3</v>
      </c>
      <c r="AG157">
        <v>0</v>
      </c>
      <c r="AH157">
        <v>3</v>
      </c>
      <c r="AI157">
        <v>-1</v>
      </c>
      <c r="AJ157" t="s">
        <v>3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>
      <c r="A158">
        <f>ROW(Source!A143)</f>
        <v>143</v>
      </c>
      <c r="B158">
        <v>47921118</v>
      </c>
      <c r="C158">
        <v>47921087</v>
      </c>
      <c r="D158">
        <v>13637754</v>
      </c>
      <c r="E158">
        <v>1</v>
      </c>
      <c r="F158">
        <v>1</v>
      </c>
      <c r="G158">
        <v>1</v>
      </c>
      <c r="H158">
        <v>3</v>
      </c>
      <c r="I158" t="s">
        <v>496</v>
      </c>
      <c r="J158" t="s">
        <v>497</v>
      </c>
      <c r="K158" t="s">
        <v>498</v>
      </c>
      <c r="L158">
        <v>1339</v>
      </c>
      <c r="N158">
        <v>1007</v>
      </c>
      <c r="O158" t="s">
        <v>298</v>
      </c>
      <c r="P158" t="s">
        <v>298</v>
      </c>
      <c r="Q158">
        <v>1</v>
      </c>
      <c r="X158">
        <v>12.44</v>
      </c>
      <c r="Y158">
        <v>6.3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0</v>
      </c>
      <c r="AF158" t="s">
        <v>3</v>
      </c>
      <c r="AG158">
        <v>12.44</v>
      </c>
      <c r="AH158">
        <v>2</v>
      </c>
      <c r="AI158">
        <v>47921101</v>
      </c>
      <c r="AJ158">
        <v>153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>
      <c r="A159">
        <f>ROW(Source!A189)</f>
        <v>189</v>
      </c>
      <c r="B159">
        <v>47921671</v>
      </c>
      <c r="C159">
        <v>47921665</v>
      </c>
      <c r="D159">
        <v>9924372</v>
      </c>
      <c r="E159">
        <v>1</v>
      </c>
      <c r="F159">
        <v>1</v>
      </c>
      <c r="G159">
        <v>1</v>
      </c>
      <c r="H159">
        <v>1</v>
      </c>
      <c r="I159" t="s">
        <v>625</v>
      </c>
      <c r="J159" t="s">
        <v>3</v>
      </c>
      <c r="K159" t="s">
        <v>626</v>
      </c>
      <c r="L159">
        <v>1191</v>
      </c>
      <c r="N159">
        <v>1013</v>
      </c>
      <c r="O159" t="s">
        <v>460</v>
      </c>
      <c r="P159" t="s">
        <v>460</v>
      </c>
      <c r="Q159">
        <v>1</v>
      </c>
      <c r="X159">
        <v>179.8</v>
      </c>
      <c r="Y159">
        <v>0</v>
      </c>
      <c r="Z159">
        <v>0</v>
      </c>
      <c r="AA159">
        <v>0</v>
      </c>
      <c r="AB159">
        <v>8.08</v>
      </c>
      <c r="AC159">
        <v>0</v>
      </c>
      <c r="AD159">
        <v>1</v>
      </c>
      <c r="AE159">
        <v>1</v>
      </c>
      <c r="AF159" t="s">
        <v>20</v>
      </c>
      <c r="AG159">
        <v>248.124</v>
      </c>
      <c r="AH159">
        <v>2</v>
      </c>
      <c r="AI159">
        <v>47921666</v>
      </c>
      <c r="AJ159">
        <v>154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>
      <c r="A160">
        <f>ROW(Source!A189)</f>
        <v>189</v>
      </c>
      <c r="B160">
        <v>47921672</v>
      </c>
      <c r="C160">
        <v>47921665</v>
      </c>
      <c r="D160">
        <v>121548</v>
      </c>
      <c r="E160">
        <v>1</v>
      </c>
      <c r="F160">
        <v>1</v>
      </c>
      <c r="G160">
        <v>1</v>
      </c>
      <c r="H160">
        <v>1</v>
      </c>
      <c r="I160" t="s">
        <v>26</v>
      </c>
      <c r="J160" t="s">
        <v>3</v>
      </c>
      <c r="K160" t="s">
        <v>461</v>
      </c>
      <c r="L160">
        <v>608254</v>
      </c>
      <c r="N160">
        <v>1013</v>
      </c>
      <c r="O160" t="s">
        <v>462</v>
      </c>
      <c r="P160" t="s">
        <v>462</v>
      </c>
      <c r="Q160">
        <v>1</v>
      </c>
      <c r="X160">
        <v>45.63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2</v>
      </c>
      <c r="AF160" t="s">
        <v>20</v>
      </c>
      <c r="AG160">
        <v>62.969399999999993</v>
      </c>
      <c r="AH160">
        <v>2</v>
      </c>
      <c r="AI160">
        <v>47921667</v>
      </c>
      <c r="AJ160">
        <v>155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>
      <c r="A161">
        <f>ROW(Source!A189)</f>
        <v>189</v>
      </c>
      <c r="B161">
        <v>47921673</v>
      </c>
      <c r="C161">
        <v>47921665</v>
      </c>
      <c r="D161">
        <v>13554851</v>
      </c>
      <c r="E161">
        <v>1</v>
      </c>
      <c r="F161">
        <v>1</v>
      </c>
      <c r="G161">
        <v>1</v>
      </c>
      <c r="H161">
        <v>2</v>
      </c>
      <c r="I161" t="s">
        <v>627</v>
      </c>
      <c r="J161" t="s">
        <v>628</v>
      </c>
      <c r="K161" t="s">
        <v>629</v>
      </c>
      <c r="L161">
        <v>1368</v>
      </c>
      <c r="N161">
        <v>1011</v>
      </c>
      <c r="O161" t="s">
        <v>468</v>
      </c>
      <c r="P161" t="s">
        <v>468</v>
      </c>
      <c r="Q161">
        <v>1</v>
      </c>
      <c r="X161">
        <v>44.08</v>
      </c>
      <c r="Y161">
        <v>0</v>
      </c>
      <c r="Z161">
        <v>104.34</v>
      </c>
      <c r="AA161">
        <v>9.7799999999999994</v>
      </c>
      <c r="AB161">
        <v>0</v>
      </c>
      <c r="AC161">
        <v>0</v>
      </c>
      <c r="AD161">
        <v>1</v>
      </c>
      <c r="AE161">
        <v>0</v>
      </c>
      <c r="AF161" t="s">
        <v>20</v>
      </c>
      <c r="AG161">
        <v>60.83039999999999</v>
      </c>
      <c r="AH161">
        <v>2</v>
      </c>
      <c r="AI161">
        <v>47921668</v>
      </c>
      <c r="AJ161">
        <v>156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>
      <c r="A162">
        <f>ROW(Source!A189)</f>
        <v>189</v>
      </c>
      <c r="B162">
        <v>47921674</v>
      </c>
      <c r="C162">
        <v>47921665</v>
      </c>
      <c r="D162">
        <v>13555234</v>
      </c>
      <c r="E162">
        <v>1</v>
      </c>
      <c r="F162">
        <v>1</v>
      </c>
      <c r="G162">
        <v>1</v>
      </c>
      <c r="H162">
        <v>2</v>
      </c>
      <c r="I162" t="s">
        <v>630</v>
      </c>
      <c r="J162" t="s">
        <v>631</v>
      </c>
      <c r="K162" t="s">
        <v>632</v>
      </c>
      <c r="L162">
        <v>1368</v>
      </c>
      <c r="N162">
        <v>1011</v>
      </c>
      <c r="O162" t="s">
        <v>468</v>
      </c>
      <c r="P162" t="s">
        <v>468</v>
      </c>
      <c r="Q162">
        <v>1</v>
      </c>
      <c r="X162">
        <v>1.55</v>
      </c>
      <c r="Y162">
        <v>0</v>
      </c>
      <c r="Z162">
        <v>128.5</v>
      </c>
      <c r="AA162">
        <v>13.12</v>
      </c>
      <c r="AB162">
        <v>0</v>
      </c>
      <c r="AC162">
        <v>0</v>
      </c>
      <c r="AD162">
        <v>1</v>
      </c>
      <c r="AE162">
        <v>0</v>
      </c>
      <c r="AF162" t="s">
        <v>20</v>
      </c>
      <c r="AG162">
        <v>2.1389999999999998</v>
      </c>
      <c r="AH162">
        <v>2</v>
      </c>
      <c r="AI162">
        <v>47921669</v>
      </c>
      <c r="AJ162">
        <v>157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>
      <c r="A163">
        <f>ROW(Source!A189)</f>
        <v>189</v>
      </c>
      <c r="B163">
        <v>47921675</v>
      </c>
      <c r="C163">
        <v>47921665</v>
      </c>
      <c r="D163">
        <v>13556601</v>
      </c>
      <c r="E163">
        <v>1</v>
      </c>
      <c r="F163">
        <v>1</v>
      </c>
      <c r="G163">
        <v>1</v>
      </c>
      <c r="H163">
        <v>2</v>
      </c>
      <c r="I163" t="s">
        <v>633</v>
      </c>
      <c r="J163" t="s">
        <v>634</v>
      </c>
      <c r="K163" t="s">
        <v>635</v>
      </c>
      <c r="L163">
        <v>1368</v>
      </c>
      <c r="N163">
        <v>1011</v>
      </c>
      <c r="O163" t="s">
        <v>468</v>
      </c>
      <c r="P163" t="s">
        <v>468</v>
      </c>
      <c r="Q163">
        <v>1</v>
      </c>
      <c r="X163">
        <v>88.16</v>
      </c>
      <c r="Y163">
        <v>0</v>
      </c>
      <c r="Z163">
        <v>2.44</v>
      </c>
      <c r="AA163">
        <v>0</v>
      </c>
      <c r="AB163">
        <v>0</v>
      </c>
      <c r="AC163">
        <v>0</v>
      </c>
      <c r="AD163">
        <v>1</v>
      </c>
      <c r="AE163">
        <v>0</v>
      </c>
      <c r="AF163" t="s">
        <v>20</v>
      </c>
      <c r="AG163">
        <v>121.66079999999998</v>
      </c>
      <c r="AH163">
        <v>2</v>
      </c>
      <c r="AI163">
        <v>47921670</v>
      </c>
      <c r="AJ163">
        <v>158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>
      <c r="A164">
        <f>ROW(Source!A190)</f>
        <v>190</v>
      </c>
      <c r="B164">
        <v>47921683</v>
      </c>
      <c r="C164">
        <v>47921676</v>
      </c>
      <c r="D164">
        <v>9914874</v>
      </c>
      <c r="E164">
        <v>1</v>
      </c>
      <c r="F164">
        <v>1</v>
      </c>
      <c r="G164">
        <v>1</v>
      </c>
      <c r="H164">
        <v>1</v>
      </c>
      <c r="I164" t="s">
        <v>458</v>
      </c>
      <c r="J164" t="s">
        <v>3</v>
      </c>
      <c r="K164" t="s">
        <v>459</v>
      </c>
      <c r="L164">
        <v>1191</v>
      </c>
      <c r="N164">
        <v>1013</v>
      </c>
      <c r="O164" t="s">
        <v>460</v>
      </c>
      <c r="P164" t="s">
        <v>460</v>
      </c>
      <c r="Q164">
        <v>1</v>
      </c>
      <c r="X164">
        <v>13.22</v>
      </c>
      <c r="Y164">
        <v>0</v>
      </c>
      <c r="Z164">
        <v>0</v>
      </c>
      <c r="AA164">
        <v>0</v>
      </c>
      <c r="AB164">
        <v>7.58</v>
      </c>
      <c r="AC164">
        <v>0</v>
      </c>
      <c r="AD164">
        <v>1</v>
      </c>
      <c r="AE164">
        <v>1</v>
      </c>
      <c r="AF164" t="s">
        <v>20</v>
      </c>
      <c r="AG164">
        <v>18.243600000000001</v>
      </c>
      <c r="AH164">
        <v>2</v>
      </c>
      <c r="AI164">
        <v>47921677</v>
      </c>
      <c r="AJ164">
        <v>159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>
      <c r="A165">
        <f>ROW(Source!A190)</f>
        <v>190</v>
      </c>
      <c r="B165">
        <v>47921684</v>
      </c>
      <c r="C165">
        <v>47921676</v>
      </c>
      <c r="D165">
        <v>121548</v>
      </c>
      <c r="E165">
        <v>1</v>
      </c>
      <c r="F165">
        <v>1</v>
      </c>
      <c r="G165">
        <v>1</v>
      </c>
      <c r="H165">
        <v>1</v>
      </c>
      <c r="I165" t="s">
        <v>26</v>
      </c>
      <c r="J165" t="s">
        <v>3</v>
      </c>
      <c r="K165" t="s">
        <v>461</v>
      </c>
      <c r="L165">
        <v>608254</v>
      </c>
      <c r="N165">
        <v>1013</v>
      </c>
      <c r="O165" t="s">
        <v>462</v>
      </c>
      <c r="P165" t="s">
        <v>462</v>
      </c>
      <c r="Q165">
        <v>1</v>
      </c>
      <c r="X165">
        <v>3.79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1</v>
      </c>
      <c r="AE165">
        <v>2</v>
      </c>
      <c r="AF165" t="s">
        <v>20</v>
      </c>
      <c r="AG165">
        <v>5.2302</v>
      </c>
      <c r="AH165">
        <v>2</v>
      </c>
      <c r="AI165">
        <v>47921678</v>
      </c>
      <c r="AJ165">
        <v>160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>
      <c r="A166">
        <f>ROW(Source!A190)</f>
        <v>190</v>
      </c>
      <c r="B166">
        <v>47921685</v>
      </c>
      <c r="C166">
        <v>47921676</v>
      </c>
      <c r="D166">
        <v>13554446</v>
      </c>
      <c r="E166">
        <v>1</v>
      </c>
      <c r="F166">
        <v>1</v>
      </c>
      <c r="G166">
        <v>1</v>
      </c>
      <c r="H166">
        <v>2</v>
      </c>
      <c r="I166" t="s">
        <v>636</v>
      </c>
      <c r="J166" t="s">
        <v>637</v>
      </c>
      <c r="K166" t="s">
        <v>638</v>
      </c>
      <c r="L166">
        <v>1368</v>
      </c>
      <c r="N166">
        <v>1011</v>
      </c>
      <c r="O166" t="s">
        <v>468</v>
      </c>
      <c r="P166" t="s">
        <v>468</v>
      </c>
      <c r="Q166">
        <v>1</v>
      </c>
      <c r="X166">
        <v>1.39</v>
      </c>
      <c r="Y166">
        <v>0</v>
      </c>
      <c r="Z166">
        <v>79.48</v>
      </c>
      <c r="AA166">
        <v>13.12</v>
      </c>
      <c r="AB166">
        <v>0</v>
      </c>
      <c r="AC166">
        <v>0</v>
      </c>
      <c r="AD166">
        <v>1</v>
      </c>
      <c r="AE166">
        <v>0</v>
      </c>
      <c r="AF166" t="s">
        <v>20</v>
      </c>
      <c r="AG166">
        <v>1.9181999999999997</v>
      </c>
      <c r="AH166">
        <v>2</v>
      </c>
      <c r="AI166">
        <v>47921679</v>
      </c>
      <c r="AJ166">
        <v>161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>
      <c r="A167">
        <f>ROW(Source!A190)</f>
        <v>190</v>
      </c>
      <c r="B167">
        <v>47921686</v>
      </c>
      <c r="C167">
        <v>47921676</v>
      </c>
      <c r="D167">
        <v>13555079</v>
      </c>
      <c r="E167">
        <v>1</v>
      </c>
      <c r="F167">
        <v>1</v>
      </c>
      <c r="G167">
        <v>1</v>
      </c>
      <c r="H167">
        <v>2</v>
      </c>
      <c r="I167" t="s">
        <v>639</v>
      </c>
      <c r="J167" t="s">
        <v>640</v>
      </c>
      <c r="K167" t="s">
        <v>641</v>
      </c>
      <c r="L167">
        <v>1368</v>
      </c>
      <c r="N167">
        <v>1011</v>
      </c>
      <c r="O167" t="s">
        <v>468</v>
      </c>
      <c r="P167" t="s">
        <v>468</v>
      </c>
      <c r="Q167">
        <v>1</v>
      </c>
      <c r="X167">
        <v>1.39</v>
      </c>
      <c r="Y167">
        <v>0</v>
      </c>
      <c r="Z167">
        <v>11.95</v>
      </c>
      <c r="AA167">
        <v>0</v>
      </c>
      <c r="AB167">
        <v>0</v>
      </c>
      <c r="AC167">
        <v>0</v>
      </c>
      <c r="AD167">
        <v>1</v>
      </c>
      <c r="AE167">
        <v>0</v>
      </c>
      <c r="AF167" t="s">
        <v>20</v>
      </c>
      <c r="AG167">
        <v>1.9181999999999997</v>
      </c>
      <c r="AH167">
        <v>2</v>
      </c>
      <c r="AI167">
        <v>47921680</v>
      </c>
      <c r="AJ167">
        <v>162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>
      <c r="A168">
        <f>ROW(Source!A190)</f>
        <v>190</v>
      </c>
      <c r="B168">
        <v>47921687</v>
      </c>
      <c r="C168">
        <v>47921676</v>
      </c>
      <c r="D168">
        <v>13555234</v>
      </c>
      <c r="E168">
        <v>1</v>
      </c>
      <c r="F168">
        <v>1</v>
      </c>
      <c r="G168">
        <v>1</v>
      </c>
      <c r="H168">
        <v>2</v>
      </c>
      <c r="I168" t="s">
        <v>630</v>
      </c>
      <c r="J168" t="s">
        <v>631</v>
      </c>
      <c r="K168" t="s">
        <v>632</v>
      </c>
      <c r="L168">
        <v>1368</v>
      </c>
      <c r="N168">
        <v>1011</v>
      </c>
      <c r="O168" t="s">
        <v>468</v>
      </c>
      <c r="P168" t="s">
        <v>468</v>
      </c>
      <c r="Q168">
        <v>1</v>
      </c>
      <c r="X168">
        <v>1.94</v>
      </c>
      <c r="Y168">
        <v>0</v>
      </c>
      <c r="Z168">
        <v>128.5</v>
      </c>
      <c r="AA168">
        <v>13.12</v>
      </c>
      <c r="AB168">
        <v>0</v>
      </c>
      <c r="AC168">
        <v>0</v>
      </c>
      <c r="AD168">
        <v>1</v>
      </c>
      <c r="AE168">
        <v>0</v>
      </c>
      <c r="AF168" t="s">
        <v>20</v>
      </c>
      <c r="AG168">
        <v>2.6771999999999996</v>
      </c>
      <c r="AH168">
        <v>2</v>
      </c>
      <c r="AI168">
        <v>47921681</v>
      </c>
      <c r="AJ168">
        <v>163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>
      <c r="A169">
        <f>ROW(Source!A190)</f>
        <v>190</v>
      </c>
      <c r="B169">
        <v>47921688</v>
      </c>
      <c r="C169">
        <v>47921676</v>
      </c>
      <c r="D169">
        <v>13555345</v>
      </c>
      <c r="E169">
        <v>1</v>
      </c>
      <c r="F169">
        <v>1</v>
      </c>
      <c r="G169">
        <v>1</v>
      </c>
      <c r="H169">
        <v>2</v>
      </c>
      <c r="I169" t="s">
        <v>596</v>
      </c>
      <c r="J169" t="s">
        <v>597</v>
      </c>
      <c r="K169" t="s">
        <v>598</v>
      </c>
      <c r="L169">
        <v>1368</v>
      </c>
      <c r="N169">
        <v>1011</v>
      </c>
      <c r="O169" t="s">
        <v>468</v>
      </c>
      <c r="P169" t="s">
        <v>468</v>
      </c>
      <c r="Q169">
        <v>1</v>
      </c>
      <c r="X169">
        <v>0.46</v>
      </c>
      <c r="Y169">
        <v>0</v>
      </c>
      <c r="Z169">
        <v>134.79</v>
      </c>
      <c r="AA169">
        <v>11.28</v>
      </c>
      <c r="AB169">
        <v>0</v>
      </c>
      <c r="AC169">
        <v>0</v>
      </c>
      <c r="AD169">
        <v>1</v>
      </c>
      <c r="AE169">
        <v>0</v>
      </c>
      <c r="AF169" t="s">
        <v>20</v>
      </c>
      <c r="AG169">
        <v>0.63480000000000003</v>
      </c>
      <c r="AH169">
        <v>2</v>
      </c>
      <c r="AI169">
        <v>47921682</v>
      </c>
      <c r="AJ169">
        <v>164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>
      <c r="A170">
        <f>ROW(Source!A191)</f>
        <v>191</v>
      </c>
      <c r="B170">
        <v>47921693</v>
      </c>
      <c r="C170">
        <v>47921689</v>
      </c>
      <c r="D170">
        <v>10019317</v>
      </c>
      <c r="E170">
        <v>1</v>
      </c>
      <c r="F170">
        <v>1</v>
      </c>
      <c r="G170">
        <v>1</v>
      </c>
      <c r="H170">
        <v>1</v>
      </c>
      <c r="I170" t="s">
        <v>642</v>
      </c>
      <c r="J170" t="s">
        <v>3</v>
      </c>
      <c r="K170" t="s">
        <v>643</v>
      </c>
      <c r="L170">
        <v>1476</v>
      </c>
      <c r="N170">
        <v>1013</v>
      </c>
      <c r="O170" t="s">
        <v>644</v>
      </c>
      <c r="P170" t="s">
        <v>645</v>
      </c>
      <c r="Q170">
        <v>1</v>
      </c>
      <c r="X170">
        <v>0.57769999999999999</v>
      </c>
      <c r="Y170">
        <v>0</v>
      </c>
      <c r="Z170">
        <v>0</v>
      </c>
      <c r="AA170">
        <v>0</v>
      </c>
      <c r="AB170">
        <v>6.99</v>
      </c>
      <c r="AC170">
        <v>0</v>
      </c>
      <c r="AD170">
        <v>1</v>
      </c>
      <c r="AE170">
        <v>1</v>
      </c>
      <c r="AF170" t="s">
        <v>3</v>
      </c>
      <c r="AG170">
        <v>0.57769999999999999</v>
      </c>
      <c r="AH170">
        <v>2</v>
      </c>
      <c r="AI170">
        <v>47921690</v>
      </c>
      <c r="AJ170">
        <v>165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>
      <c r="A171">
        <f>ROW(Source!A191)</f>
        <v>191</v>
      </c>
      <c r="B171">
        <v>47921694</v>
      </c>
      <c r="C171">
        <v>47921689</v>
      </c>
      <c r="D171">
        <v>121548</v>
      </c>
      <c r="E171">
        <v>1</v>
      </c>
      <c r="F171">
        <v>1</v>
      </c>
      <c r="G171">
        <v>1</v>
      </c>
      <c r="H171">
        <v>1</v>
      </c>
      <c r="I171" t="s">
        <v>26</v>
      </c>
      <c r="J171" t="s">
        <v>3</v>
      </c>
      <c r="K171" t="s">
        <v>461</v>
      </c>
      <c r="L171">
        <v>608254</v>
      </c>
      <c r="N171">
        <v>1013</v>
      </c>
      <c r="O171" t="s">
        <v>462</v>
      </c>
      <c r="P171" t="s">
        <v>462</v>
      </c>
      <c r="Q171">
        <v>1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2</v>
      </c>
      <c r="AF171" t="s">
        <v>3</v>
      </c>
      <c r="AG171">
        <v>0</v>
      </c>
      <c r="AH171">
        <v>2</v>
      </c>
      <c r="AI171">
        <v>47921691</v>
      </c>
      <c r="AJ171">
        <v>166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>
      <c r="A172">
        <f>ROW(Source!A191)</f>
        <v>191</v>
      </c>
      <c r="B172">
        <v>47921695</v>
      </c>
      <c r="C172">
        <v>47921689</v>
      </c>
      <c r="D172">
        <v>13556990</v>
      </c>
      <c r="E172">
        <v>1</v>
      </c>
      <c r="F172">
        <v>1</v>
      </c>
      <c r="G172">
        <v>1</v>
      </c>
      <c r="H172">
        <v>2</v>
      </c>
      <c r="I172" t="s">
        <v>613</v>
      </c>
      <c r="J172" t="s">
        <v>614</v>
      </c>
      <c r="K172" t="s">
        <v>615</v>
      </c>
      <c r="L172">
        <v>1368</v>
      </c>
      <c r="N172">
        <v>1011</v>
      </c>
      <c r="O172" t="s">
        <v>468</v>
      </c>
      <c r="P172" t="s">
        <v>468</v>
      </c>
      <c r="Q172">
        <v>1</v>
      </c>
      <c r="X172">
        <v>0.28999999999999998</v>
      </c>
      <c r="Y172">
        <v>0</v>
      </c>
      <c r="Z172">
        <v>110.68</v>
      </c>
      <c r="AA172">
        <v>0</v>
      </c>
      <c r="AB172">
        <v>0</v>
      </c>
      <c r="AC172">
        <v>0</v>
      </c>
      <c r="AD172">
        <v>1</v>
      </c>
      <c r="AE172">
        <v>0</v>
      </c>
      <c r="AF172" t="s">
        <v>3</v>
      </c>
      <c r="AG172">
        <v>0.28999999999999998</v>
      </c>
      <c r="AH172">
        <v>2</v>
      </c>
      <c r="AI172">
        <v>47921692</v>
      </c>
      <c r="AJ172">
        <v>167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>
      <c r="A173">
        <f>ROW(Source!A193)</f>
        <v>193</v>
      </c>
      <c r="B173">
        <v>47921703</v>
      </c>
      <c r="C173">
        <v>47921697</v>
      </c>
      <c r="D173">
        <v>9914874</v>
      </c>
      <c r="E173">
        <v>1</v>
      </c>
      <c r="F173">
        <v>1</v>
      </c>
      <c r="G173">
        <v>1</v>
      </c>
      <c r="H173">
        <v>1</v>
      </c>
      <c r="I173" t="s">
        <v>458</v>
      </c>
      <c r="J173" t="s">
        <v>3</v>
      </c>
      <c r="K173" t="s">
        <v>459</v>
      </c>
      <c r="L173">
        <v>1191</v>
      </c>
      <c r="N173">
        <v>1013</v>
      </c>
      <c r="O173" t="s">
        <v>460</v>
      </c>
      <c r="P173" t="s">
        <v>460</v>
      </c>
      <c r="Q173">
        <v>1</v>
      </c>
      <c r="X173">
        <v>15.08</v>
      </c>
      <c r="Y173">
        <v>0</v>
      </c>
      <c r="Z173">
        <v>0</v>
      </c>
      <c r="AA173">
        <v>0</v>
      </c>
      <c r="AB173">
        <v>7.58</v>
      </c>
      <c r="AC173">
        <v>0</v>
      </c>
      <c r="AD173">
        <v>1</v>
      </c>
      <c r="AE173">
        <v>1</v>
      </c>
      <c r="AF173" t="s">
        <v>20</v>
      </c>
      <c r="AG173">
        <v>20.810399999999998</v>
      </c>
      <c r="AH173">
        <v>2</v>
      </c>
      <c r="AI173">
        <v>47921698</v>
      </c>
      <c r="AJ173">
        <v>168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>
      <c r="A174">
        <f>ROW(Source!A193)</f>
        <v>193</v>
      </c>
      <c r="B174">
        <v>47921704</v>
      </c>
      <c r="C174">
        <v>47921697</v>
      </c>
      <c r="D174">
        <v>121548</v>
      </c>
      <c r="E174">
        <v>1</v>
      </c>
      <c r="F174">
        <v>1</v>
      </c>
      <c r="G174">
        <v>1</v>
      </c>
      <c r="H174">
        <v>1</v>
      </c>
      <c r="I174" t="s">
        <v>26</v>
      </c>
      <c r="J174" t="s">
        <v>3</v>
      </c>
      <c r="K174" t="s">
        <v>461</v>
      </c>
      <c r="L174">
        <v>608254</v>
      </c>
      <c r="N174">
        <v>1013</v>
      </c>
      <c r="O174" t="s">
        <v>462</v>
      </c>
      <c r="P174" t="s">
        <v>462</v>
      </c>
      <c r="Q174">
        <v>1</v>
      </c>
      <c r="X174">
        <v>43.62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2</v>
      </c>
      <c r="AF174" t="s">
        <v>20</v>
      </c>
      <c r="AG174">
        <v>60.195599999999992</v>
      </c>
      <c r="AH174">
        <v>2</v>
      </c>
      <c r="AI174">
        <v>47921699</v>
      </c>
      <c r="AJ174">
        <v>169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>
      <c r="A175">
        <f>ROW(Source!A193)</f>
        <v>193</v>
      </c>
      <c r="B175">
        <v>47921705</v>
      </c>
      <c r="C175">
        <v>47921697</v>
      </c>
      <c r="D175">
        <v>13554894</v>
      </c>
      <c r="E175">
        <v>1</v>
      </c>
      <c r="F175">
        <v>1</v>
      </c>
      <c r="G175">
        <v>1</v>
      </c>
      <c r="H175">
        <v>2</v>
      </c>
      <c r="I175" t="s">
        <v>646</v>
      </c>
      <c r="J175" t="s">
        <v>647</v>
      </c>
      <c r="K175" t="s">
        <v>648</v>
      </c>
      <c r="L175">
        <v>1368</v>
      </c>
      <c r="N175">
        <v>1011</v>
      </c>
      <c r="O175" t="s">
        <v>468</v>
      </c>
      <c r="P175" t="s">
        <v>468</v>
      </c>
      <c r="Q175">
        <v>1</v>
      </c>
      <c r="X175">
        <v>33.28</v>
      </c>
      <c r="Y175">
        <v>0</v>
      </c>
      <c r="Z175">
        <v>110.82</v>
      </c>
      <c r="AA175">
        <v>13.12</v>
      </c>
      <c r="AB175">
        <v>0</v>
      </c>
      <c r="AC175">
        <v>0</v>
      </c>
      <c r="AD175">
        <v>1</v>
      </c>
      <c r="AE175">
        <v>0</v>
      </c>
      <c r="AF175" t="s">
        <v>20</v>
      </c>
      <c r="AG175">
        <v>45.926399999999994</v>
      </c>
      <c r="AH175">
        <v>2</v>
      </c>
      <c r="AI175">
        <v>47921700</v>
      </c>
      <c r="AJ175">
        <v>170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>
      <c r="A176">
        <f>ROW(Source!A193)</f>
        <v>193</v>
      </c>
      <c r="B176">
        <v>47921706</v>
      </c>
      <c r="C176">
        <v>47921697</v>
      </c>
      <c r="D176">
        <v>13554973</v>
      </c>
      <c r="E176">
        <v>1</v>
      </c>
      <c r="F176">
        <v>1</v>
      </c>
      <c r="G176">
        <v>1</v>
      </c>
      <c r="H176">
        <v>2</v>
      </c>
      <c r="I176" t="s">
        <v>649</v>
      </c>
      <c r="J176" t="s">
        <v>650</v>
      </c>
      <c r="K176" t="s">
        <v>651</v>
      </c>
      <c r="L176">
        <v>1368</v>
      </c>
      <c r="N176">
        <v>1011</v>
      </c>
      <c r="O176" t="s">
        <v>468</v>
      </c>
      <c r="P176" t="s">
        <v>468</v>
      </c>
      <c r="Q176">
        <v>1</v>
      </c>
      <c r="X176">
        <v>10.34</v>
      </c>
      <c r="Y176">
        <v>0</v>
      </c>
      <c r="Z176">
        <v>84.27</v>
      </c>
      <c r="AA176">
        <v>13.12</v>
      </c>
      <c r="AB176">
        <v>0</v>
      </c>
      <c r="AC176">
        <v>0</v>
      </c>
      <c r="AD176">
        <v>1</v>
      </c>
      <c r="AE176">
        <v>0</v>
      </c>
      <c r="AF176" t="s">
        <v>20</v>
      </c>
      <c r="AG176">
        <v>14.269199999999998</v>
      </c>
      <c r="AH176">
        <v>2</v>
      </c>
      <c r="AI176">
        <v>47921701</v>
      </c>
      <c r="AJ176">
        <v>171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>
      <c r="A177">
        <f>ROW(Source!A193)</f>
        <v>193</v>
      </c>
      <c r="B177">
        <v>47921707</v>
      </c>
      <c r="C177">
        <v>47921697</v>
      </c>
      <c r="D177">
        <v>13636967</v>
      </c>
      <c r="E177">
        <v>1</v>
      </c>
      <c r="F177">
        <v>1</v>
      </c>
      <c r="G177">
        <v>1</v>
      </c>
      <c r="H177">
        <v>3</v>
      </c>
      <c r="I177" t="s">
        <v>652</v>
      </c>
      <c r="J177" t="s">
        <v>653</v>
      </c>
      <c r="K177" t="s">
        <v>654</v>
      </c>
      <c r="L177">
        <v>1339</v>
      </c>
      <c r="N177">
        <v>1007</v>
      </c>
      <c r="O177" t="s">
        <v>298</v>
      </c>
      <c r="P177" t="s">
        <v>298</v>
      </c>
      <c r="Q177">
        <v>1</v>
      </c>
      <c r="X177">
        <v>0.04</v>
      </c>
      <c r="Y177">
        <v>279.3</v>
      </c>
      <c r="Z177">
        <v>0</v>
      </c>
      <c r="AA177">
        <v>0</v>
      </c>
      <c r="AB177">
        <v>0</v>
      </c>
      <c r="AC177">
        <v>0</v>
      </c>
      <c r="AD177">
        <v>1</v>
      </c>
      <c r="AE177">
        <v>0</v>
      </c>
      <c r="AF177" t="s">
        <v>3</v>
      </c>
      <c r="AG177">
        <v>0.04</v>
      </c>
      <c r="AH177">
        <v>2</v>
      </c>
      <c r="AI177">
        <v>47921702</v>
      </c>
      <c r="AJ177">
        <v>172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>
      <c r="A178">
        <f>ROW(Source!A195)</f>
        <v>195</v>
      </c>
      <c r="B178">
        <v>47921713</v>
      </c>
      <c r="C178">
        <v>47921709</v>
      </c>
      <c r="D178">
        <v>121548</v>
      </c>
      <c r="E178">
        <v>1</v>
      </c>
      <c r="F178">
        <v>1</v>
      </c>
      <c r="G178">
        <v>1</v>
      </c>
      <c r="H178">
        <v>1</v>
      </c>
      <c r="I178" t="s">
        <v>26</v>
      </c>
      <c r="J178" t="s">
        <v>3</v>
      </c>
      <c r="K178" t="s">
        <v>461</v>
      </c>
      <c r="L178">
        <v>608254</v>
      </c>
      <c r="N178">
        <v>1013</v>
      </c>
      <c r="O178" t="s">
        <v>462</v>
      </c>
      <c r="P178" t="s">
        <v>462</v>
      </c>
      <c r="Q178">
        <v>1</v>
      </c>
      <c r="X178">
        <v>1.1000000000000001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2</v>
      </c>
      <c r="AF178" t="s">
        <v>20</v>
      </c>
      <c r="AG178">
        <v>1.518</v>
      </c>
      <c r="AH178">
        <v>2</v>
      </c>
      <c r="AI178">
        <v>47921710</v>
      </c>
      <c r="AJ178">
        <v>173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>
      <c r="A179">
        <f>ROW(Source!A195)</f>
        <v>195</v>
      </c>
      <c r="B179">
        <v>47921714</v>
      </c>
      <c r="C179">
        <v>47921709</v>
      </c>
      <c r="D179">
        <v>13554973</v>
      </c>
      <c r="E179">
        <v>1</v>
      </c>
      <c r="F179">
        <v>1</v>
      </c>
      <c r="G179">
        <v>1</v>
      </c>
      <c r="H179">
        <v>2</v>
      </c>
      <c r="I179" t="s">
        <v>649</v>
      </c>
      <c r="J179" t="s">
        <v>650</v>
      </c>
      <c r="K179" t="s">
        <v>651</v>
      </c>
      <c r="L179">
        <v>1368</v>
      </c>
      <c r="N179">
        <v>1011</v>
      </c>
      <c r="O179" t="s">
        <v>468</v>
      </c>
      <c r="P179" t="s">
        <v>468</v>
      </c>
      <c r="Q179">
        <v>1</v>
      </c>
      <c r="X179">
        <v>0.67</v>
      </c>
      <c r="Y179">
        <v>0</v>
      </c>
      <c r="Z179">
        <v>84.27</v>
      </c>
      <c r="AA179">
        <v>13.12</v>
      </c>
      <c r="AB179">
        <v>0</v>
      </c>
      <c r="AC179">
        <v>0</v>
      </c>
      <c r="AD179">
        <v>1</v>
      </c>
      <c r="AE179">
        <v>0</v>
      </c>
      <c r="AF179" t="s">
        <v>20</v>
      </c>
      <c r="AG179">
        <v>0.92459999999999998</v>
      </c>
      <c r="AH179">
        <v>2</v>
      </c>
      <c r="AI179">
        <v>47921711</v>
      </c>
      <c r="AJ179">
        <v>174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>
      <c r="A180">
        <f>ROW(Source!A195)</f>
        <v>195</v>
      </c>
      <c r="B180">
        <v>47921715</v>
      </c>
      <c r="C180">
        <v>47921709</v>
      </c>
      <c r="D180">
        <v>13555234</v>
      </c>
      <c r="E180">
        <v>1</v>
      </c>
      <c r="F180">
        <v>1</v>
      </c>
      <c r="G180">
        <v>1</v>
      </c>
      <c r="H180">
        <v>2</v>
      </c>
      <c r="I180" t="s">
        <v>630</v>
      </c>
      <c r="J180" t="s">
        <v>631</v>
      </c>
      <c r="K180" t="s">
        <v>632</v>
      </c>
      <c r="L180">
        <v>1368</v>
      </c>
      <c r="N180">
        <v>1011</v>
      </c>
      <c r="O180" t="s">
        <v>468</v>
      </c>
      <c r="P180" t="s">
        <v>468</v>
      </c>
      <c r="Q180">
        <v>1</v>
      </c>
      <c r="X180">
        <v>0.43</v>
      </c>
      <c r="Y180">
        <v>0</v>
      </c>
      <c r="Z180">
        <v>128.5</v>
      </c>
      <c r="AA180">
        <v>13.12</v>
      </c>
      <c r="AB180">
        <v>0</v>
      </c>
      <c r="AC180">
        <v>0</v>
      </c>
      <c r="AD180">
        <v>1</v>
      </c>
      <c r="AE180">
        <v>0</v>
      </c>
      <c r="AF180" t="s">
        <v>20</v>
      </c>
      <c r="AG180">
        <v>0.59339999999999993</v>
      </c>
      <c r="AH180">
        <v>2</v>
      </c>
      <c r="AI180">
        <v>47921712</v>
      </c>
      <c r="AJ180">
        <v>175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>
      <c r="A181">
        <f>ROW(Source!A196)</f>
        <v>196</v>
      </c>
      <c r="B181">
        <v>47921721</v>
      </c>
      <c r="C181">
        <v>47921716</v>
      </c>
      <c r="D181">
        <v>121548</v>
      </c>
      <c r="E181">
        <v>1</v>
      </c>
      <c r="F181">
        <v>1</v>
      </c>
      <c r="G181">
        <v>1</v>
      </c>
      <c r="H181">
        <v>1</v>
      </c>
      <c r="I181" t="s">
        <v>26</v>
      </c>
      <c r="J181" t="s">
        <v>3</v>
      </c>
      <c r="K181" t="s">
        <v>461</v>
      </c>
      <c r="L181">
        <v>608254</v>
      </c>
      <c r="N181">
        <v>1013</v>
      </c>
      <c r="O181" t="s">
        <v>462</v>
      </c>
      <c r="P181" t="s">
        <v>462</v>
      </c>
      <c r="Q181">
        <v>1</v>
      </c>
      <c r="X181">
        <v>7.91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1</v>
      </c>
      <c r="AE181">
        <v>2</v>
      </c>
      <c r="AF181" t="s">
        <v>20</v>
      </c>
      <c r="AG181">
        <v>10.915799999999997</v>
      </c>
      <c r="AH181">
        <v>2</v>
      </c>
      <c r="AI181">
        <v>47921717</v>
      </c>
      <c r="AJ181">
        <v>176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>
      <c r="A182">
        <f>ROW(Source!A196)</f>
        <v>196</v>
      </c>
      <c r="B182">
        <v>47921722</v>
      </c>
      <c r="C182">
        <v>47921716</v>
      </c>
      <c r="D182">
        <v>13554447</v>
      </c>
      <c r="E182">
        <v>1</v>
      </c>
      <c r="F182">
        <v>1</v>
      </c>
      <c r="G182">
        <v>1</v>
      </c>
      <c r="H182">
        <v>2</v>
      </c>
      <c r="I182" t="s">
        <v>655</v>
      </c>
      <c r="J182" t="s">
        <v>656</v>
      </c>
      <c r="K182" t="s">
        <v>657</v>
      </c>
      <c r="L182">
        <v>1368</v>
      </c>
      <c r="N182">
        <v>1011</v>
      </c>
      <c r="O182" t="s">
        <v>468</v>
      </c>
      <c r="P182" t="s">
        <v>468</v>
      </c>
      <c r="Q182">
        <v>1</v>
      </c>
      <c r="X182">
        <v>0.85</v>
      </c>
      <c r="Y182">
        <v>0</v>
      </c>
      <c r="Z182">
        <v>85.09</v>
      </c>
      <c r="AA182">
        <v>14</v>
      </c>
      <c r="AB182">
        <v>0</v>
      </c>
      <c r="AC182">
        <v>0</v>
      </c>
      <c r="AD182">
        <v>1</v>
      </c>
      <c r="AE182">
        <v>0</v>
      </c>
      <c r="AF182" t="s">
        <v>20</v>
      </c>
      <c r="AG182">
        <v>1.1729999999999998</v>
      </c>
      <c r="AH182">
        <v>2</v>
      </c>
      <c r="AI182">
        <v>47921718</v>
      </c>
      <c r="AJ182">
        <v>177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>
      <c r="A183">
        <f>ROW(Source!A196)</f>
        <v>196</v>
      </c>
      <c r="B183">
        <v>47921723</v>
      </c>
      <c r="C183">
        <v>47921716</v>
      </c>
      <c r="D183">
        <v>13554973</v>
      </c>
      <c r="E183">
        <v>1</v>
      </c>
      <c r="F183">
        <v>1</v>
      </c>
      <c r="G183">
        <v>1</v>
      </c>
      <c r="H183">
        <v>2</v>
      </c>
      <c r="I183" t="s">
        <v>649</v>
      </c>
      <c r="J183" t="s">
        <v>650</v>
      </c>
      <c r="K183" t="s">
        <v>651</v>
      </c>
      <c r="L183">
        <v>1368</v>
      </c>
      <c r="N183">
        <v>1011</v>
      </c>
      <c r="O183" t="s">
        <v>468</v>
      </c>
      <c r="P183" t="s">
        <v>468</v>
      </c>
      <c r="Q183">
        <v>1</v>
      </c>
      <c r="X183">
        <v>7.06</v>
      </c>
      <c r="Y183">
        <v>0</v>
      </c>
      <c r="Z183">
        <v>84.27</v>
      </c>
      <c r="AA183">
        <v>13.12</v>
      </c>
      <c r="AB183">
        <v>0</v>
      </c>
      <c r="AC183">
        <v>0</v>
      </c>
      <c r="AD183">
        <v>1</v>
      </c>
      <c r="AE183">
        <v>0</v>
      </c>
      <c r="AF183" t="s">
        <v>20</v>
      </c>
      <c r="AG183">
        <v>9.742799999999999</v>
      </c>
      <c r="AH183">
        <v>2</v>
      </c>
      <c r="AI183">
        <v>47921719</v>
      </c>
      <c r="AJ183">
        <v>178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>
      <c r="A184">
        <f>ROW(Source!A196)</f>
        <v>196</v>
      </c>
      <c r="B184">
        <v>47921724</v>
      </c>
      <c r="C184">
        <v>47921716</v>
      </c>
      <c r="D184">
        <v>13555251</v>
      </c>
      <c r="E184">
        <v>1</v>
      </c>
      <c r="F184">
        <v>1</v>
      </c>
      <c r="G184">
        <v>1</v>
      </c>
      <c r="H184">
        <v>2</v>
      </c>
      <c r="I184" t="s">
        <v>658</v>
      </c>
      <c r="J184" t="s">
        <v>659</v>
      </c>
      <c r="K184" t="s">
        <v>660</v>
      </c>
      <c r="L184">
        <v>1368</v>
      </c>
      <c r="N184">
        <v>1011</v>
      </c>
      <c r="O184" t="s">
        <v>468</v>
      </c>
      <c r="P184" t="s">
        <v>468</v>
      </c>
      <c r="Q184">
        <v>1</v>
      </c>
      <c r="X184">
        <v>0.85</v>
      </c>
      <c r="Y184">
        <v>0</v>
      </c>
      <c r="Z184">
        <v>52.39</v>
      </c>
      <c r="AA184">
        <v>0</v>
      </c>
      <c r="AB184">
        <v>0</v>
      </c>
      <c r="AC184">
        <v>0</v>
      </c>
      <c r="AD184">
        <v>1</v>
      </c>
      <c r="AE184">
        <v>0</v>
      </c>
      <c r="AF184" t="s">
        <v>20</v>
      </c>
      <c r="AG184">
        <v>1.1729999999999998</v>
      </c>
      <c r="AH184">
        <v>2</v>
      </c>
      <c r="AI184">
        <v>47921720</v>
      </c>
      <c r="AJ184">
        <v>179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>
      <c r="A185">
        <f>ROW(Source!A197)</f>
        <v>197</v>
      </c>
      <c r="B185">
        <v>47921729</v>
      </c>
      <c r="C185">
        <v>47921725</v>
      </c>
      <c r="D185">
        <v>121548</v>
      </c>
      <c r="E185">
        <v>1</v>
      </c>
      <c r="F185">
        <v>1</v>
      </c>
      <c r="G185">
        <v>1</v>
      </c>
      <c r="H185">
        <v>1</v>
      </c>
      <c r="I185" t="s">
        <v>26</v>
      </c>
      <c r="J185" t="s">
        <v>3</v>
      </c>
      <c r="K185" t="s">
        <v>461</v>
      </c>
      <c r="L185">
        <v>608254</v>
      </c>
      <c r="N185">
        <v>1013</v>
      </c>
      <c r="O185" t="s">
        <v>462</v>
      </c>
      <c r="P185" t="s">
        <v>462</v>
      </c>
      <c r="Q185">
        <v>1</v>
      </c>
      <c r="X185">
        <v>0.85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1</v>
      </c>
      <c r="AE185">
        <v>2</v>
      </c>
      <c r="AF185" t="s">
        <v>20</v>
      </c>
      <c r="AG185">
        <v>1.1729999999999998</v>
      </c>
      <c r="AH185">
        <v>2</v>
      </c>
      <c r="AI185">
        <v>47921726</v>
      </c>
      <c r="AJ185">
        <v>180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>
      <c r="A186">
        <f>ROW(Source!A197)</f>
        <v>197</v>
      </c>
      <c r="B186">
        <v>47921730</v>
      </c>
      <c r="C186">
        <v>47921725</v>
      </c>
      <c r="D186">
        <v>13554447</v>
      </c>
      <c r="E186">
        <v>1</v>
      </c>
      <c r="F186">
        <v>1</v>
      </c>
      <c r="G186">
        <v>1</v>
      </c>
      <c r="H186">
        <v>2</v>
      </c>
      <c r="I186" t="s">
        <v>655</v>
      </c>
      <c r="J186" t="s">
        <v>656</v>
      </c>
      <c r="K186" t="s">
        <v>657</v>
      </c>
      <c r="L186">
        <v>1368</v>
      </c>
      <c r="N186">
        <v>1011</v>
      </c>
      <c r="O186" t="s">
        <v>468</v>
      </c>
      <c r="P186" t="s">
        <v>468</v>
      </c>
      <c r="Q186">
        <v>1</v>
      </c>
      <c r="X186">
        <v>0.85</v>
      </c>
      <c r="Y186">
        <v>0</v>
      </c>
      <c r="Z186">
        <v>85.09</v>
      </c>
      <c r="AA186">
        <v>14</v>
      </c>
      <c r="AB186">
        <v>0</v>
      </c>
      <c r="AC186">
        <v>0</v>
      </c>
      <c r="AD186">
        <v>1</v>
      </c>
      <c r="AE186">
        <v>0</v>
      </c>
      <c r="AF186" t="s">
        <v>20</v>
      </c>
      <c r="AG186">
        <v>1.1729999999999998</v>
      </c>
      <c r="AH186">
        <v>2</v>
      </c>
      <c r="AI186">
        <v>47921727</v>
      </c>
      <c r="AJ186">
        <v>181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>
      <c r="A187">
        <f>ROW(Source!A197)</f>
        <v>197</v>
      </c>
      <c r="B187">
        <v>47921731</v>
      </c>
      <c r="C187">
        <v>47921725</v>
      </c>
      <c r="D187">
        <v>13555251</v>
      </c>
      <c r="E187">
        <v>1</v>
      </c>
      <c r="F187">
        <v>1</v>
      </c>
      <c r="G187">
        <v>1</v>
      </c>
      <c r="H187">
        <v>2</v>
      </c>
      <c r="I187" t="s">
        <v>658</v>
      </c>
      <c r="J187" t="s">
        <v>659</v>
      </c>
      <c r="K187" t="s">
        <v>660</v>
      </c>
      <c r="L187">
        <v>1368</v>
      </c>
      <c r="N187">
        <v>1011</v>
      </c>
      <c r="O187" t="s">
        <v>468</v>
      </c>
      <c r="P187" t="s">
        <v>468</v>
      </c>
      <c r="Q187">
        <v>1</v>
      </c>
      <c r="X187">
        <v>0.85</v>
      </c>
      <c r="Y187">
        <v>0</v>
      </c>
      <c r="Z187">
        <v>52.39</v>
      </c>
      <c r="AA187">
        <v>0</v>
      </c>
      <c r="AB187">
        <v>0</v>
      </c>
      <c r="AC187">
        <v>0</v>
      </c>
      <c r="AD187">
        <v>1</v>
      </c>
      <c r="AE187">
        <v>0</v>
      </c>
      <c r="AF187" t="s">
        <v>20</v>
      </c>
      <c r="AG187">
        <v>1.1729999999999998</v>
      </c>
      <c r="AH187">
        <v>2</v>
      </c>
      <c r="AI187">
        <v>47921728</v>
      </c>
      <c r="AJ187">
        <v>182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>
      <c r="A188">
        <f>ROW(Source!A198)</f>
        <v>198</v>
      </c>
      <c r="B188">
        <v>47921745</v>
      </c>
      <c r="C188">
        <v>47921732</v>
      </c>
      <c r="D188">
        <v>9915124</v>
      </c>
      <c r="E188">
        <v>1</v>
      </c>
      <c r="F188">
        <v>1</v>
      </c>
      <c r="G188">
        <v>1</v>
      </c>
      <c r="H188">
        <v>1</v>
      </c>
      <c r="I188" t="s">
        <v>661</v>
      </c>
      <c r="J188" t="s">
        <v>3</v>
      </c>
      <c r="K188" t="s">
        <v>662</v>
      </c>
      <c r="L188">
        <v>1191</v>
      </c>
      <c r="N188">
        <v>1013</v>
      </c>
      <c r="O188" t="s">
        <v>460</v>
      </c>
      <c r="P188" t="s">
        <v>460</v>
      </c>
      <c r="Q188">
        <v>1</v>
      </c>
      <c r="X188">
        <v>36.96</v>
      </c>
      <c r="Y188">
        <v>0</v>
      </c>
      <c r="Z188">
        <v>0</v>
      </c>
      <c r="AA188">
        <v>0</v>
      </c>
      <c r="AB188">
        <v>7.94</v>
      </c>
      <c r="AC188">
        <v>0</v>
      </c>
      <c r="AD188">
        <v>1</v>
      </c>
      <c r="AE188">
        <v>1</v>
      </c>
      <c r="AF188" t="s">
        <v>20</v>
      </c>
      <c r="AG188">
        <v>51.004799999999989</v>
      </c>
      <c r="AH188">
        <v>2</v>
      </c>
      <c r="AI188">
        <v>47921733</v>
      </c>
      <c r="AJ188">
        <v>183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>
      <c r="A189">
        <f>ROW(Source!A198)</f>
        <v>198</v>
      </c>
      <c r="B189">
        <v>47921746</v>
      </c>
      <c r="C189">
        <v>47921732</v>
      </c>
      <c r="D189">
        <v>121548</v>
      </c>
      <c r="E189">
        <v>1</v>
      </c>
      <c r="F189">
        <v>1</v>
      </c>
      <c r="G189">
        <v>1</v>
      </c>
      <c r="H189">
        <v>1</v>
      </c>
      <c r="I189" t="s">
        <v>26</v>
      </c>
      <c r="J189" t="s">
        <v>3</v>
      </c>
      <c r="K189" t="s">
        <v>461</v>
      </c>
      <c r="L189">
        <v>608254</v>
      </c>
      <c r="N189">
        <v>1013</v>
      </c>
      <c r="O189" t="s">
        <v>462</v>
      </c>
      <c r="P189" t="s">
        <v>462</v>
      </c>
      <c r="Q189">
        <v>1</v>
      </c>
      <c r="X189">
        <v>36.24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1</v>
      </c>
      <c r="AE189">
        <v>2</v>
      </c>
      <c r="AF189" t="s">
        <v>20</v>
      </c>
      <c r="AG189">
        <v>50.011199999999995</v>
      </c>
      <c r="AH189">
        <v>2</v>
      </c>
      <c r="AI189">
        <v>47921734</v>
      </c>
      <c r="AJ189">
        <v>184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>
      <c r="A190">
        <f>ROW(Source!A198)</f>
        <v>198</v>
      </c>
      <c r="B190">
        <v>47921747</v>
      </c>
      <c r="C190">
        <v>47921732</v>
      </c>
      <c r="D190">
        <v>13554643</v>
      </c>
      <c r="E190">
        <v>1</v>
      </c>
      <c r="F190">
        <v>1</v>
      </c>
      <c r="G190">
        <v>1</v>
      </c>
      <c r="H190">
        <v>2</v>
      </c>
      <c r="I190" t="s">
        <v>663</v>
      </c>
      <c r="J190" t="s">
        <v>664</v>
      </c>
      <c r="K190" t="s">
        <v>665</v>
      </c>
      <c r="L190">
        <v>1368</v>
      </c>
      <c r="N190">
        <v>1011</v>
      </c>
      <c r="O190" t="s">
        <v>468</v>
      </c>
      <c r="P190" t="s">
        <v>468</v>
      </c>
      <c r="Q190">
        <v>1</v>
      </c>
      <c r="X190">
        <v>3.98</v>
      </c>
      <c r="Y190">
        <v>0</v>
      </c>
      <c r="Z190">
        <v>108.42</v>
      </c>
      <c r="AA190">
        <v>9.7799999999999994</v>
      </c>
      <c r="AB190">
        <v>0</v>
      </c>
      <c r="AC190">
        <v>0</v>
      </c>
      <c r="AD190">
        <v>1</v>
      </c>
      <c r="AE190">
        <v>0</v>
      </c>
      <c r="AF190" t="s">
        <v>20</v>
      </c>
      <c r="AG190">
        <v>5.4923999999999991</v>
      </c>
      <c r="AH190">
        <v>2</v>
      </c>
      <c r="AI190">
        <v>47921735</v>
      </c>
      <c r="AJ190">
        <v>185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>
      <c r="A191">
        <f>ROW(Source!A198)</f>
        <v>198</v>
      </c>
      <c r="B191">
        <v>47921748</v>
      </c>
      <c r="C191">
        <v>47921732</v>
      </c>
      <c r="D191">
        <v>13554973</v>
      </c>
      <c r="E191">
        <v>1</v>
      </c>
      <c r="F191">
        <v>1</v>
      </c>
      <c r="G191">
        <v>1</v>
      </c>
      <c r="H191">
        <v>2</v>
      </c>
      <c r="I191" t="s">
        <v>649</v>
      </c>
      <c r="J191" t="s">
        <v>650</v>
      </c>
      <c r="K191" t="s">
        <v>651</v>
      </c>
      <c r="L191">
        <v>1368</v>
      </c>
      <c r="N191">
        <v>1011</v>
      </c>
      <c r="O191" t="s">
        <v>468</v>
      </c>
      <c r="P191" t="s">
        <v>468</v>
      </c>
      <c r="Q191">
        <v>1</v>
      </c>
      <c r="X191">
        <v>2.59</v>
      </c>
      <c r="Y191">
        <v>0</v>
      </c>
      <c r="Z191">
        <v>84.27</v>
      </c>
      <c r="AA191">
        <v>13.12</v>
      </c>
      <c r="AB191">
        <v>0</v>
      </c>
      <c r="AC191">
        <v>0</v>
      </c>
      <c r="AD191">
        <v>1</v>
      </c>
      <c r="AE191">
        <v>0</v>
      </c>
      <c r="AF191" t="s">
        <v>20</v>
      </c>
      <c r="AG191">
        <v>3.5741999999999994</v>
      </c>
      <c r="AH191">
        <v>2</v>
      </c>
      <c r="AI191">
        <v>47921736</v>
      </c>
      <c r="AJ191">
        <v>186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>
      <c r="A192">
        <f>ROW(Source!A198)</f>
        <v>198</v>
      </c>
      <c r="B192">
        <v>47921749</v>
      </c>
      <c r="C192">
        <v>47921732</v>
      </c>
      <c r="D192">
        <v>13555234</v>
      </c>
      <c r="E192">
        <v>1</v>
      </c>
      <c r="F192">
        <v>1</v>
      </c>
      <c r="G192">
        <v>1</v>
      </c>
      <c r="H192">
        <v>2</v>
      </c>
      <c r="I192" t="s">
        <v>630</v>
      </c>
      <c r="J192" t="s">
        <v>631</v>
      </c>
      <c r="K192" t="s">
        <v>632</v>
      </c>
      <c r="L192">
        <v>1368</v>
      </c>
      <c r="N192">
        <v>1011</v>
      </c>
      <c r="O192" t="s">
        <v>468</v>
      </c>
      <c r="P192" t="s">
        <v>468</v>
      </c>
      <c r="Q192">
        <v>1</v>
      </c>
      <c r="X192">
        <v>0.41</v>
      </c>
      <c r="Y192">
        <v>0</v>
      </c>
      <c r="Z192">
        <v>128.5</v>
      </c>
      <c r="AA192">
        <v>13.12</v>
      </c>
      <c r="AB192">
        <v>0</v>
      </c>
      <c r="AC192">
        <v>0</v>
      </c>
      <c r="AD192">
        <v>1</v>
      </c>
      <c r="AE192">
        <v>0</v>
      </c>
      <c r="AF192" t="s">
        <v>20</v>
      </c>
      <c r="AG192">
        <v>0.56579999999999986</v>
      </c>
      <c r="AH192">
        <v>2</v>
      </c>
      <c r="AI192">
        <v>47921737</v>
      </c>
      <c r="AJ192">
        <v>187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>
      <c r="A193">
        <f>ROW(Source!A198)</f>
        <v>198</v>
      </c>
      <c r="B193">
        <v>47921750</v>
      </c>
      <c r="C193">
        <v>47921732</v>
      </c>
      <c r="D193">
        <v>13555264</v>
      </c>
      <c r="E193">
        <v>1</v>
      </c>
      <c r="F193">
        <v>1</v>
      </c>
      <c r="G193">
        <v>1</v>
      </c>
      <c r="H193">
        <v>2</v>
      </c>
      <c r="I193" t="s">
        <v>666</v>
      </c>
      <c r="J193" t="s">
        <v>667</v>
      </c>
      <c r="K193" t="s">
        <v>668</v>
      </c>
      <c r="L193">
        <v>1368</v>
      </c>
      <c r="N193">
        <v>1011</v>
      </c>
      <c r="O193" t="s">
        <v>468</v>
      </c>
      <c r="P193" t="s">
        <v>468</v>
      </c>
      <c r="Q193">
        <v>1</v>
      </c>
      <c r="X193">
        <v>7.87</v>
      </c>
      <c r="Y193">
        <v>0</v>
      </c>
      <c r="Z193">
        <v>83.69</v>
      </c>
      <c r="AA193">
        <v>11.28</v>
      </c>
      <c r="AB193">
        <v>0</v>
      </c>
      <c r="AC193">
        <v>0</v>
      </c>
      <c r="AD193">
        <v>1</v>
      </c>
      <c r="AE193">
        <v>0</v>
      </c>
      <c r="AF193" t="s">
        <v>20</v>
      </c>
      <c r="AG193">
        <v>10.860599999999998</v>
      </c>
      <c r="AH193">
        <v>2</v>
      </c>
      <c r="AI193">
        <v>47921738</v>
      </c>
      <c r="AJ193">
        <v>188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>
      <c r="A194">
        <f>ROW(Source!A198)</f>
        <v>198</v>
      </c>
      <c r="B194">
        <v>47921751</v>
      </c>
      <c r="C194">
        <v>47921732</v>
      </c>
      <c r="D194">
        <v>13555265</v>
      </c>
      <c r="E194">
        <v>1</v>
      </c>
      <c r="F194">
        <v>1</v>
      </c>
      <c r="G194">
        <v>1</v>
      </c>
      <c r="H194">
        <v>2</v>
      </c>
      <c r="I194" t="s">
        <v>669</v>
      </c>
      <c r="J194" t="s">
        <v>670</v>
      </c>
      <c r="K194" t="s">
        <v>671</v>
      </c>
      <c r="L194">
        <v>1368</v>
      </c>
      <c r="N194">
        <v>1011</v>
      </c>
      <c r="O194" t="s">
        <v>468</v>
      </c>
      <c r="P194" t="s">
        <v>468</v>
      </c>
      <c r="Q194">
        <v>1</v>
      </c>
      <c r="X194">
        <v>17.78</v>
      </c>
      <c r="Y194">
        <v>0</v>
      </c>
      <c r="Z194">
        <v>140.38999999999999</v>
      </c>
      <c r="AA194">
        <v>14</v>
      </c>
      <c r="AB194">
        <v>0</v>
      </c>
      <c r="AC194">
        <v>0</v>
      </c>
      <c r="AD194">
        <v>1</v>
      </c>
      <c r="AE194">
        <v>0</v>
      </c>
      <c r="AF194" t="s">
        <v>20</v>
      </c>
      <c r="AG194">
        <v>24.5364</v>
      </c>
      <c r="AH194">
        <v>2</v>
      </c>
      <c r="AI194">
        <v>47921739</v>
      </c>
      <c r="AJ194">
        <v>189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>
      <c r="A195">
        <f>ROW(Source!A198)</f>
        <v>198</v>
      </c>
      <c r="B195">
        <v>47921752</v>
      </c>
      <c r="C195">
        <v>47921732</v>
      </c>
      <c r="D195">
        <v>13555345</v>
      </c>
      <c r="E195">
        <v>1</v>
      </c>
      <c r="F195">
        <v>1</v>
      </c>
      <c r="G195">
        <v>1</v>
      </c>
      <c r="H195">
        <v>2</v>
      </c>
      <c r="I195" t="s">
        <v>596</v>
      </c>
      <c r="J195" t="s">
        <v>597</v>
      </c>
      <c r="K195" t="s">
        <v>598</v>
      </c>
      <c r="L195">
        <v>1368</v>
      </c>
      <c r="N195">
        <v>1011</v>
      </c>
      <c r="O195" t="s">
        <v>468</v>
      </c>
      <c r="P195" t="s">
        <v>468</v>
      </c>
      <c r="Q195">
        <v>1</v>
      </c>
      <c r="X195">
        <v>2.96</v>
      </c>
      <c r="Y195">
        <v>0</v>
      </c>
      <c r="Z195">
        <v>134.79</v>
      </c>
      <c r="AA195">
        <v>11.28</v>
      </c>
      <c r="AB195">
        <v>0</v>
      </c>
      <c r="AC195">
        <v>0</v>
      </c>
      <c r="AD195">
        <v>1</v>
      </c>
      <c r="AE195">
        <v>0</v>
      </c>
      <c r="AF195" t="s">
        <v>20</v>
      </c>
      <c r="AG195">
        <v>4.0847999999999995</v>
      </c>
      <c r="AH195">
        <v>2</v>
      </c>
      <c r="AI195">
        <v>47921740</v>
      </c>
      <c r="AJ195">
        <v>190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>
      <c r="A196">
        <f>ROW(Source!A198)</f>
        <v>198</v>
      </c>
      <c r="B196">
        <v>47921753</v>
      </c>
      <c r="C196">
        <v>47921732</v>
      </c>
      <c r="D196">
        <v>13555357</v>
      </c>
      <c r="E196">
        <v>1</v>
      </c>
      <c r="F196">
        <v>1</v>
      </c>
      <c r="G196">
        <v>1</v>
      </c>
      <c r="H196">
        <v>2</v>
      </c>
      <c r="I196" t="s">
        <v>672</v>
      </c>
      <c r="J196" t="s">
        <v>673</v>
      </c>
      <c r="K196" t="s">
        <v>674</v>
      </c>
      <c r="L196">
        <v>1368</v>
      </c>
      <c r="N196">
        <v>1011</v>
      </c>
      <c r="O196" t="s">
        <v>468</v>
      </c>
      <c r="P196" t="s">
        <v>468</v>
      </c>
      <c r="Q196">
        <v>1</v>
      </c>
      <c r="X196">
        <v>0.65</v>
      </c>
      <c r="Y196">
        <v>0</v>
      </c>
      <c r="Z196">
        <v>135.94</v>
      </c>
      <c r="AA196">
        <v>13.12</v>
      </c>
      <c r="AB196">
        <v>0</v>
      </c>
      <c r="AC196">
        <v>0</v>
      </c>
      <c r="AD196">
        <v>1</v>
      </c>
      <c r="AE196">
        <v>0</v>
      </c>
      <c r="AF196" t="s">
        <v>20</v>
      </c>
      <c r="AG196">
        <v>0.89699999999999991</v>
      </c>
      <c r="AH196">
        <v>2</v>
      </c>
      <c r="AI196">
        <v>47921741</v>
      </c>
      <c r="AJ196">
        <v>191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>
      <c r="A197">
        <f>ROW(Source!A198)</f>
        <v>198</v>
      </c>
      <c r="B197">
        <v>47921754</v>
      </c>
      <c r="C197">
        <v>47921732</v>
      </c>
      <c r="D197">
        <v>13636970</v>
      </c>
      <c r="E197">
        <v>1</v>
      </c>
      <c r="F197">
        <v>1</v>
      </c>
      <c r="G197">
        <v>1</v>
      </c>
      <c r="H197">
        <v>3</v>
      </c>
      <c r="I197" t="s">
        <v>304</v>
      </c>
      <c r="J197" t="s">
        <v>306</v>
      </c>
      <c r="K197" t="s">
        <v>305</v>
      </c>
      <c r="L197">
        <v>1339</v>
      </c>
      <c r="N197">
        <v>1007</v>
      </c>
      <c r="O197" t="s">
        <v>298</v>
      </c>
      <c r="P197" t="s">
        <v>298</v>
      </c>
      <c r="Q197">
        <v>1</v>
      </c>
      <c r="X197">
        <v>15</v>
      </c>
      <c r="Y197">
        <v>312.47000000000003</v>
      </c>
      <c r="Z197">
        <v>0</v>
      </c>
      <c r="AA197">
        <v>0</v>
      </c>
      <c r="AB197">
        <v>0</v>
      </c>
      <c r="AC197">
        <v>0</v>
      </c>
      <c r="AD197">
        <v>1</v>
      </c>
      <c r="AE197">
        <v>0</v>
      </c>
      <c r="AF197" t="s">
        <v>3</v>
      </c>
      <c r="AG197">
        <v>15</v>
      </c>
      <c r="AH197">
        <v>2</v>
      </c>
      <c r="AI197">
        <v>47921742</v>
      </c>
      <c r="AJ197">
        <v>192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>
      <c r="A198">
        <f>ROW(Source!A198)</f>
        <v>198</v>
      </c>
      <c r="B198">
        <v>47921755</v>
      </c>
      <c r="C198">
        <v>47921732</v>
      </c>
      <c r="D198">
        <v>13636972</v>
      </c>
      <c r="E198">
        <v>1</v>
      </c>
      <c r="F198">
        <v>1</v>
      </c>
      <c r="G198">
        <v>1</v>
      </c>
      <c r="H198">
        <v>3</v>
      </c>
      <c r="I198" t="s">
        <v>296</v>
      </c>
      <c r="J198" t="s">
        <v>299</v>
      </c>
      <c r="K198" t="s">
        <v>297</v>
      </c>
      <c r="L198">
        <v>1339</v>
      </c>
      <c r="N198">
        <v>1007</v>
      </c>
      <c r="O198" t="s">
        <v>298</v>
      </c>
      <c r="P198" t="s">
        <v>298</v>
      </c>
      <c r="Q198">
        <v>1</v>
      </c>
      <c r="X198">
        <v>189</v>
      </c>
      <c r="Y198">
        <v>199.6</v>
      </c>
      <c r="Z198">
        <v>0</v>
      </c>
      <c r="AA198">
        <v>0</v>
      </c>
      <c r="AB198">
        <v>0</v>
      </c>
      <c r="AC198">
        <v>0</v>
      </c>
      <c r="AD198">
        <v>1</v>
      </c>
      <c r="AE198">
        <v>0</v>
      </c>
      <c r="AF198" t="s">
        <v>3</v>
      </c>
      <c r="AG198">
        <v>189</v>
      </c>
      <c r="AH198">
        <v>2</v>
      </c>
      <c r="AI198">
        <v>47921743</v>
      </c>
      <c r="AJ198">
        <v>193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>
      <c r="A199">
        <f>ROW(Source!A198)</f>
        <v>198</v>
      </c>
      <c r="B199">
        <v>47921756</v>
      </c>
      <c r="C199">
        <v>47921732</v>
      </c>
      <c r="D199">
        <v>13637754</v>
      </c>
      <c r="E199">
        <v>1</v>
      </c>
      <c r="F199">
        <v>1</v>
      </c>
      <c r="G199">
        <v>1</v>
      </c>
      <c r="H199">
        <v>3</v>
      </c>
      <c r="I199" t="s">
        <v>496</v>
      </c>
      <c r="J199" t="s">
        <v>497</v>
      </c>
      <c r="K199" t="s">
        <v>498</v>
      </c>
      <c r="L199">
        <v>1339</v>
      </c>
      <c r="N199">
        <v>1007</v>
      </c>
      <c r="O199" t="s">
        <v>298</v>
      </c>
      <c r="P199" t="s">
        <v>298</v>
      </c>
      <c r="Q199">
        <v>1</v>
      </c>
      <c r="X199">
        <v>30</v>
      </c>
      <c r="Y199">
        <v>6.3</v>
      </c>
      <c r="Z199">
        <v>0</v>
      </c>
      <c r="AA199">
        <v>0</v>
      </c>
      <c r="AB199">
        <v>0</v>
      </c>
      <c r="AC199">
        <v>0</v>
      </c>
      <c r="AD199">
        <v>1</v>
      </c>
      <c r="AE199">
        <v>0</v>
      </c>
      <c r="AF199" t="s">
        <v>3</v>
      </c>
      <c r="AG199">
        <v>30</v>
      </c>
      <c r="AH199">
        <v>2</v>
      </c>
      <c r="AI199">
        <v>47921744</v>
      </c>
      <c r="AJ199">
        <v>194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>
      <c r="A200">
        <f>ROW(Source!A201)</f>
        <v>201</v>
      </c>
      <c r="B200">
        <v>47921765</v>
      </c>
      <c r="C200">
        <v>47921759</v>
      </c>
      <c r="D200">
        <v>121548</v>
      </c>
      <c r="E200">
        <v>1</v>
      </c>
      <c r="F200">
        <v>1</v>
      </c>
      <c r="G200">
        <v>1</v>
      </c>
      <c r="H200">
        <v>1</v>
      </c>
      <c r="I200" t="s">
        <v>26</v>
      </c>
      <c r="J200" t="s">
        <v>3</v>
      </c>
      <c r="K200" t="s">
        <v>461</v>
      </c>
      <c r="L200">
        <v>608254</v>
      </c>
      <c r="N200">
        <v>1013</v>
      </c>
      <c r="O200" t="s">
        <v>462</v>
      </c>
      <c r="P200" t="s">
        <v>462</v>
      </c>
      <c r="Q200">
        <v>1</v>
      </c>
      <c r="X200">
        <v>2.5099999999999998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1</v>
      </c>
      <c r="AE200">
        <v>2</v>
      </c>
      <c r="AF200" t="s">
        <v>312</v>
      </c>
      <c r="AG200">
        <v>17.318999999999996</v>
      </c>
      <c r="AH200">
        <v>2</v>
      </c>
      <c r="AI200">
        <v>47921760</v>
      </c>
      <c r="AJ200">
        <v>195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>
      <c r="A201">
        <f>ROW(Source!A201)</f>
        <v>201</v>
      </c>
      <c r="B201">
        <v>47921766</v>
      </c>
      <c r="C201">
        <v>47921759</v>
      </c>
      <c r="D201">
        <v>13554643</v>
      </c>
      <c r="E201">
        <v>1</v>
      </c>
      <c r="F201">
        <v>1</v>
      </c>
      <c r="G201">
        <v>1</v>
      </c>
      <c r="H201">
        <v>2</v>
      </c>
      <c r="I201" t="s">
        <v>663</v>
      </c>
      <c r="J201" t="s">
        <v>664</v>
      </c>
      <c r="K201" t="s">
        <v>665</v>
      </c>
      <c r="L201">
        <v>1368</v>
      </c>
      <c r="N201">
        <v>1011</v>
      </c>
      <c r="O201" t="s">
        <v>468</v>
      </c>
      <c r="P201" t="s">
        <v>468</v>
      </c>
      <c r="Q201">
        <v>1</v>
      </c>
      <c r="X201">
        <v>0.83</v>
      </c>
      <c r="Y201">
        <v>0</v>
      </c>
      <c r="Z201">
        <v>108.42</v>
      </c>
      <c r="AA201">
        <v>9.7799999999999994</v>
      </c>
      <c r="AB201">
        <v>0</v>
      </c>
      <c r="AC201">
        <v>0</v>
      </c>
      <c r="AD201">
        <v>1</v>
      </c>
      <c r="AE201">
        <v>0</v>
      </c>
      <c r="AF201" t="s">
        <v>312</v>
      </c>
      <c r="AG201">
        <v>5.7269999999999985</v>
      </c>
      <c r="AH201">
        <v>2</v>
      </c>
      <c r="AI201">
        <v>47921761</v>
      </c>
      <c r="AJ201">
        <v>196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>
      <c r="A202">
        <f>ROW(Source!A201)</f>
        <v>201</v>
      </c>
      <c r="B202">
        <v>47921767</v>
      </c>
      <c r="C202">
        <v>47921759</v>
      </c>
      <c r="D202">
        <v>13555264</v>
      </c>
      <c r="E202">
        <v>1</v>
      </c>
      <c r="F202">
        <v>1</v>
      </c>
      <c r="G202">
        <v>1</v>
      </c>
      <c r="H202">
        <v>2</v>
      </c>
      <c r="I202" t="s">
        <v>666</v>
      </c>
      <c r="J202" t="s">
        <v>667</v>
      </c>
      <c r="K202" t="s">
        <v>668</v>
      </c>
      <c r="L202">
        <v>1368</v>
      </c>
      <c r="N202">
        <v>1011</v>
      </c>
      <c r="O202" t="s">
        <v>468</v>
      </c>
      <c r="P202" t="s">
        <v>468</v>
      </c>
      <c r="Q202">
        <v>1</v>
      </c>
      <c r="X202">
        <v>0.86</v>
      </c>
      <c r="Y202">
        <v>0</v>
      </c>
      <c r="Z202">
        <v>83.69</v>
      </c>
      <c r="AA202">
        <v>11.28</v>
      </c>
      <c r="AB202">
        <v>0</v>
      </c>
      <c r="AC202">
        <v>0</v>
      </c>
      <c r="AD202">
        <v>1</v>
      </c>
      <c r="AE202">
        <v>0</v>
      </c>
      <c r="AF202" t="s">
        <v>312</v>
      </c>
      <c r="AG202">
        <v>5.9339999999999993</v>
      </c>
      <c r="AH202">
        <v>2</v>
      </c>
      <c r="AI202">
        <v>47921762</v>
      </c>
      <c r="AJ202">
        <v>197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>
      <c r="A203">
        <f>ROW(Source!A201)</f>
        <v>201</v>
      </c>
      <c r="B203">
        <v>47921768</v>
      </c>
      <c r="C203">
        <v>47921759</v>
      </c>
      <c r="D203">
        <v>13555265</v>
      </c>
      <c r="E203">
        <v>1</v>
      </c>
      <c r="F203">
        <v>1</v>
      </c>
      <c r="G203">
        <v>1</v>
      </c>
      <c r="H203">
        <v>2</v>
      </c>
      <c r="I203" t="s">
        <v>669</v>
      </c>
      <c r="J203" t="s">
        <v>670</v>
      </c>
      <c r="K203" t="s">
        <v>671</v>
      </c>
      <c r="L203">
        <v>1368</v>
      </c>
      <c r="N203">
        <v>1011</v>
      </c>
      <c r="O203" t="s">
        <v>468</v>
      </c>
      <c r="P203" t="s">
        <v>468</v>
      </c>
      <c r="Q203">
        <v>1</v>
      </c>
      <c r="X203">
        <v>0.82</v>
      </c>
      <c r="Y203">
        <v>0</v>
      </c>
      <c r="Z203">
        <v>140.38999999999999</v>
      </c>
      <c r="AA203">
        <v>14</v>
      </c>
      <c r="AB203">
        <v>0</v>
      </c>
      <c r="AC203">
        <v>0</v>
      </c>
      <c r="AD203">
        <v>1</v>
      </c>
      <c r="AE203">
        <v>0</v>
      </c>
      <c r="AF203" t="s">
        <v>312</v>
      </c>
      <c r="AG203">
        <v>5.6579999999999986</v>
      </c>
      <c r="AH203">
        <v>2</v>
      </c>
      <c r="AI203">
        <v>47921763</v>
      </c>
      <c r="AJ203">
        <v>198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>
      <c r="A204">
        <f>ROW(Source!A201)</f>
        <v>201</v>
      </c>
      <c r="B204">
        <v>47921769</v>
      </c>
      <c r="C204">
        <v>47921759</v>
      </c>
      <c r="D204">
        <v>13636972</v>
      </c>
      <c r="E204">
        <v>1</v>
      </c>
      <c r="F204">
        <v>1</v>
      </c>
      <c r="G204">
        <v>1</v>
      </c>
      <c r="H204">
        <v>3</v>
      </c>
      <c r="I204" t="s">
        <v>296</v>
      </c>
      <c r="J204" t="s">
        <v>299</v>
      </c>
      <c r="K204" t="s">
        <v>297</v>
      </c>
      <c r="L204">
        <v>1339</v>
      </c>
      <c r="N204">
        <v>1007</v>
      </c>
      <c r="O204" t="s">
        <v>298</v>
      </c>
      <c r="P204" t="s">
        <v>298</v>
      </c>
      <c r="Q204">
        <v>1</v>
      </c>
      <c r="X204">
        <v>12.6</v>
      </c>
      <c r="Y204">
        <v>199.6</v>
      </c>
      <c r="Z204">
        <v>0</v>
      </c>
      <c r="AA204">
        <v>0</v>
      </c>
      <c r="AB204">
        <v>0</v>
      </c>
      <c r="AC204">
        <v>0</v>
      </c>
      <c r="AD204">
        <v>1</v>
      </c>
      <c r="AE204">
        <v>0</v>
      </c>
      <c r="AF204" t="s">
        <v>311</v>
      </c>
      <c r="AG204">
        <v>63</v>
      </c>
      <c r="AH204">
        <v>2</v>
      </c>
      <c r="AI204">
        <v>47921764</v>
      </c>
      <c r="AJ204">
        <v>199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>
      <c r="A205">
        <f>ROW(Source!A204)</f>
        <v>204</v>
      </c>
      <c r="B205">
        <v>47921776</v>
      </c>
      <c r="C205">
        <v>47921772</v>
      </c>
      <c r="D205">
        <v>121548</v>
      </c>
      <c r="E205">
        <v>1</v>
      </c>
      <c r="F205">
        <v>1</v>
      </c>
      <c r="G205">
        <v>1</v>
      </c>
      <c r="H205">
        <v>1</v>
      </c>
      <c r="I205" t="s">
        <v>26</v>
      </c>
      <c r="J205" t="s">
        <v>3</v>
      </c>
      <c r="K205" t="s">
        <v>461</v>
      </c>
      <c r="L205">
        <v>608254</v>
      </c>
      <c r="N205">
        <v>1013</v>
      </c>
      <c r="O205" t="s">
        <v>462</v>
      </c>
      <c r="P205" t="s">
        <v>462</v>
      </c>
      <c r="Q205">
        <v>1</v>
      </c>
      <c r="X205">
        <v>0.66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1</v>
      </c>
      <c r="AE205">
        <v>2</v>
      </c>
      <c r="AF205" t="s">
        <v>20</v>
      </c>
      <c r="AG205">
        <v>0.91079999999999994</v>
      </c>
      <c r="AH205">
        <v>2</v>
      </c>
      <c r="AI205">
        <v>47921773</v>
      </c>
      <c r="AJ205">
        <v>200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>
      <c r="A206">
        <f>ROW(Source!A204)</f>
        <v>204</v>
      </c>
      <c r="B206">
        <v>47921777</v>
      </c>
      <c r="C206">
        <v>47921772</v>
      </c>
      <c r="D206">
        <v>13555224</v>
      </c>
      <c r="E206">
        <v>1</v>
      </c>
      <c r="F206">
        <v>1</v>
      </c>
      <c r="G206">
        <v>1</v>
      </c>
      <c r="H206">
        <v>2</v>
      </c>
      <c r="I206" t="s">
        <v>675</v>
      </c>
      <c r="J206" t="s">
        <v>676</v>
      </c>
      <c r="K206" t="s">
        <v>677</v>
      </c>
      <c r="L206">
        <v>1368</v>
      </c>
      <c r="N206">
        <v>1011</v>
      </c>
      <c r="O206" t="s">
        <v>468</v>
      </c>
      <c r="P206" t="s">
        <v>468</v>
      </c>
      <c r="Q206">
        <v>1</v>
      </c>
      <c r="X206">
        <v>0.33</v>
      </c>
      <c r="Y206">
        <v>0</v>
      </c>
      <c r="Z206">
        <v>147.15</v>
      </c>
      <c r="AA206">
        <v>21.06</v>
      </c>
      <c r="AB206">
        <v>0</v>
      </c>
      <c r="AC206">
        <v>0</v>
      </c>
      <c r="AD206">
        <v>1</v>
      </c>
      <c r="AE206">
        <v>0</v>
      </c>
      <c r="AF206" t="s">
        <v>20</v>
      </c>
      <c r="AG206">
        <v>0.45539999999999997</v>
      </c>
      <c r="AH206">
        <v>2</v>
      </c>
      <c r="AI206">
        <v>47921774</v>
      </c>
      <c r="AJ206">
        <v>201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>
      <c r="A207">
        <f>ROW(Source!A204)</f>
        <v>204</v>
      </c>
      <c r="B207">
        <v>47921778</v>
      </c>
      <c r="C207">
        <v>47921772</v>
      </c>
      <c r="D207">
        <v>13559968</v>
      </c>
      <c r="E207">
        <v>1</v>
      </c>
      <c r="F207">
        <v>1</v>
      </c>
      <c r="G207">
        <v>1</v>
      </c>
      <c r="H207">
        <v>3</v>
      </c>
      <c r="I207" t="s">
        <v>678</v>
      </c>
      <c r="J207" t="s">
        <v>679</v>
      </c>
      <c r="K207" t="s">
        <v>680</v>
      </c>
      <c r="L207">
        <v>1348</v>
      </c>
      <c r="N207">
        <v>1009</v>
      </c>
      <c r="O207" t="s">
        <v>337</v>
      </c>
      <c r="P207" t="s">
        <v>337</v>
      </c>
      <c r="Q207">
        <v>1000</v>
      </c>
      <c r="X207">
        <v>1.03</v>
      </c>
      <c r="Y207">
        <v>2395.06</v>
      </c>
      <c r="Z207">
        <v>0</v>
      </c>
      <c r="AA207">
        <v>0</v>
      </c>
      <c r="AB207">
        <v>0</v>
      </c>
      <c r="AC207">
        <v>0</v>
      </c>
      <c r="AD207">
        <v>1</v>
      </c>
      <c r="AE207">
        <v>0</v>
      </c>
      <c r="AF207" t="s">
        <v>3</v>
      </c>
      <c r="AG207">
        <v>1.03</v>
      </c>
      <c r="AH207">
        <v>2</v>
      </c>
      <c r="AI207">
        <v>47921775</v>
      </c>
      <c r="AJ207">
        <v>202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>
      <c r="A208">
        <f>ROW(Source!A206)</f>
        <v>206</v>
      </c>
      <c r="B208">
        <v>47921790</v>
      </c>
      <c r="C208">
        <v>47921780</v>
      </c>
      <c r="D208">
        <v>9915078</v>
      </c>
      <c r="E208">
        <v>1</v>
      </c>
      <c r="F208">
        <v>1</v>
      </c>
      <c r="G208">
        <v>1</v>
      </c>
      <c r="H208">
        <v>1</v>
      </c>
      <c r="I208" t="s">
        <v>681</v>
      </c>
      <c r="J208" t="s">
        <v>3</v>
      </c>
      <c r="K208" t="s">
        <v>682</v>
      </c>
      <c r="L208">
        <v>1191</v>
      </c>
      <c r="N208">
        <v>1013</v>
      </c>
      <c r="O208" t="s">
        <v>460</v>
      </c>
      <c r="P208" t="s">
        <v>460</v>
      </c>
      <c r="Q208">
        <v>1</v>
      </c>
      <c r="X208">
        <v>21.77</v>
      </c>
      <c r="Y208">
        <v>0</v>
      </c>
      <c r="Z208">
        <v>0</v>
      </c>
      <c r="AA208">
        <v>0</v>
      </c>
      <c r="AB208">
        <v>9.49</v>
      </c>
      <c r="AC208">
        <v>0</v>
      </c>
      <c r="AD208">
        <v>1</v>
      </c>
      <c r="AE208">
        <v>1</v>
      </c>
      <c r="AF208" t="s">
        <v>20</v>
      </c>
      <c r="AG208">
        <v>30.042599999999997</v>
      </c>
      <c r="AH208">
        <v>2</v>
      </c>
      <c r="AI208">
        <v>47921781</v>
      </c>
      <c r="AJ208">
        <v>203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>
      <c r="A209">
        <f>ROW(Source!A206)</f>
        <v>206</v>
      </c>
      <c r="B209">
        <v>47921791</v>
      </c>
      <c r="C209">
        <v>47921780</v>
      </c>
      <c r="D209">
        <v>121548</v>
      </c>
      <c r="E209">
        <v>1</v>
      </c>
      <c r="F209">
        <v>1</v>
      </c>
      <c r="G209">
        <v>1</v>
      </c>
      <c r="H209">
        <v>1</v>
      </c>
      <c r="I209" t="s">
        <v>26</v>
      </c>
      <c r="J209" t="s">
        <v>3</v>
      </c>
      <c r="K209" t="s">
        <v>461</v>
      </c>
      <c r="L209">
        <v>608254</v>
      </c>
      <c r="N209">
        <v>1013</v>
      </c>
      <c r="O209" t="s">
        <v>462</v>
      </c>
      <c r="P209" t="s">
        <v>462</v>
      </c>
      <c r="Q209">
        <v>1</v>
      </c>
      <c r="X209">
        <v>21.5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1</v>
      </c>
      <c r="AE209">
        <v>2</v>
      </c>
      <c r="AF209" t="s">
        <v>20</v>
      </c>
      <c r="AG209">
        <v>29.669999999999998</v>
      </c>
      <c r="AH209">
        <v>2</v>
      </c>
      <c r="AI209">
        <v>47921782</v>
      </c>
      <c r="AJ209">
        <v>204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>
      <c r="A210">
        <f>ROW(Source!A206)</f>
        <v>206</v>
      </c>
      <c r="B210">
        <v>47921792</v>
      </c>
      <c r="C210">
        <v>47921780</v>
      </c>
      <c r="D210">
        <v>13555264</v>
      </c>
      <c r="E210">
        <v>1</v>
      </c>
      <c r="F210">
        <v>1</v>
      </c>
      <c r="G210">
        <v>1</v>
      </c>
      <c r="H210">
        <v>2</v>
      </c>
      <c r="I210" t="s">
        <v>666</v>
      </c>
      <c r="J210" t="s">
        <v>667</v>
      </c>
      <c r="K210" t="s">
        <v>668</v>
      </c>
      <c r="L210">
        <v>1368</v>
      </c>
      <c r="N210">
        <v>1011</v>
      </c>
      <c r="O210" t="s">
        <v>468</v>
      </c>
      <c r="P210" t="s">
        <v>468</v>
      </c>
      <c r="Q210">
        <v>1</v>
      </c>
      <c r="X210">
        <v>4.18</v>
      </c>
      <c r="Y210">
        <v>0</v>
      </c>
      <c r="Z210">
        <v>83.69</v>
      </c>
      <c r="AA210">
        <v>11.28</v>
      </c>
      <c r="AB210">
        <v>0</v>
      </c>
      <c r="AC210">
        <v>0</v>
      </c>
      <c r="AD210">
        <v>1</v>
      </c>
      <c r="AE210">
        <v>0</v>
      </c>
      <c r="AF210" t="s">
        <v>20</v>
      </c>
      <c r="AG210">
        <v>5.7683999999999989</v>
      </c>
      <c r="AH210">
        <v>2</v>
      </c>
      <c r="AI210">
        <v>47921783</v>
      </c>
      <c r="AJ210">
        <v>205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>
      <c r="A211">
        <f>ROW(Source!A206)</f>
        <v>206</v>
      </c>
      <c r="B211">
        <v>47921793</v>
      </c>
      <c r="C211">
        <v>47921780</v>
      </c>
      <c r="D211">
        <v>13555265</v>
      </c>
      <c r="E211">
        <v>1</v>
      </c>
      <c r="F211">
        <v>1</v>
      </c>
      <c r="G211">
        <v>1</v>
      </c>
      <c r="H211">
        <v>2</v>
      </c>
      <c r="I211" t="s">
        <v>669</v>
      </c>
      <c r="J211" t="s">
        <v>670</v>
      </c>
      <c r="K211" t="s">
        <v>671</v>
      </c>
      <c r="L211">
        <v>1368</v>
      </c>
      <c r="N211">
        <v>1011</v>
      </c>
      <c r="O211" t="s">
        <v>468</v>
      </c>
      <c r="P211" t="s">
        <v>468</v>
      </c>
      <c r="Q211">
        <v>1</v>
      </c>
      <c r="X211">
        <v>13.57</v>
      </c>
      <c r="Y211">
        <v>0</v>
      </c>
      <c r="Z211">
        <v>140.38999999999999</v>
      </c>
      <c r="AA211">
        <v>14</v>
      </c>
      <c r="AB211">
        <v>0</v>
      </c>
      <c r="AC211">
        <v>0</v>
      </c>
      <c r="AD211">
        <v>1</v>
      </c>
      <c r="AE211">
        <v>0</v>
      </c>
      <c r="AF211" t="s">
        <v>20</v>
      </c>
      <c r="AG211">
        <v>18.726599999999998</v>
      </c>
      <c r="AH211">
        <v>2</v>
      </c>
      <c r="AI211">
        <v>47921784</v>
      </c>
      <c r="AJ211">
        <v>206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</row>
    <row r="212" spans="1:44">
      <c r="A212">
        <f>ROW(Source!A206)</f>
        <v>206</v>
      </c>
      <c r="B212">
        <v>47921794</v>
      </c>
      <c r="C212">
        <v>47921780</v>
      </c>
      <c r="D212">
        <v>13555345</v>
      </c>
      <c r="E212">
        <v>1</v>
      </c>
      <c r="F212">
        <v>1</v>
      </c>
      <c r="G212">
        <v>1</v>
      </c>
      <c r="H212">
        <v>2</v>
      </c>
      <c r="I212" t="s">
        <v>596</v>
      </c>
      <c r="J212" t="s">
        <v>597</v>
      </c>
      <c r="K212" t="s">
        <v>598</v>
      </c>
      <c r="L212">
        <v>1368</v>
      </c>
      <c r="N212">
        <v>1011</v>
      </c>
      <c r="O212" t="s">
        <v>468</v>
      </c>
      <c r="P212" t="s">
        <v>468</v>
      </c>
      <c r="Q212">
        <v>1</v>
      </c>
      <c r="X212">
        <v>0.36</v>
      </c>
      <c r="Y212">
        <v>0</v>
      </c>
      <c r="Z212">
        <v>134.79</v>
      </c>
      <c r="AA212">
        <v>11.28</v>
      </c>
      <c r="AB212">
        <v>0</v>
      </c>
      <c r="AC212">
        <v>0</v>
      </c>
      <c r="AD212">
        <v>1</v>
      </c>
      <c r="AE212">
        <v>0</v>
      </c>
      <c r="AF212" t="s">
        <v>20</v>
      </c>
      <c r="AG212">
        <v>0.49679999999999996</v>
      </c>
      <c r="AH212">
        <v>2</v>
      </c>
      <c r="AI212">
        <v>47921785</v>
      </c>
      <c r="AJ212">
        <v>207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>
      <c r="A213">
        <f>ROW(Source!A206)</f>
        <v>206</v>
      </c>
      <c r="B213">
        <v>47921795</v>
      </c>
      <c r="C213">
        <v>47921780</v>
      </c>
      <c r="D213">
        <v>13555373</v>
      </c>
      <c r="E213">
        <v>1</v>
      </c>
      <c r="F213">
        <v>1</v>
      </c>
      <c r="G213">
        <v>1</v>
      </c>
      <c r="H213">
        <v>2</v>
      </c>
      <c r="I213" t="s">
        <v>683</v>
      </c>
      <c r="J213" t="s">
        <v>684</v>
      </c>
      <c r="K213" t="s">
        <v>685</v>
      </c>
      <c r="L213">
        <v>1368</v>
      </c>
      <c r="N213">
        <v>1011</v>
      </c>
      <c r="O213" t="s">
        <v>468</v>
      </c>
      <c r="P213" t="s">
        <v>468</v>
      </c>
      <c r="Q213">
        <v>1</v>
      </c>
      <c r="X213">
        <v>3.39</v>
      </c>
      <c r="Y213">
        <v>0</v>
      </c>
      <c r="Z213">
        <v>238.27</v>
      </c>
      <c r="AA213">
        <v>14</v>
      </c>
      <c r="AB213">
        <v>0</v>
      </c>
      <c r="AC213">
        <v>0</v>
      </c>
      <c r="AD213">
        <v>1</v>
      </c>
      <c r="AE213">
        <v>0</v>
      </c>
      <c r="AF213" t="s">
        <v>20</v>
      </c>
      <c r="AG213">
        <v>4.6781999999999995</v>
      </c>
      <c r="AH213">
        <v>2</v>
      </c>
      <c r="AI213">
        <v>47921786</v>
      </c>
      <c r="AJ213">
        <v>208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>
      <c r="A214">
        <f>ROW(Source!A206)</f>
        <v>206</v>
      </c>
      <c r="B214">
        <v>47921796</v>
      </c>
      <c r="C214">
        <v>47921780</v>
      </c>
      <c r="D214">
        <v>13558245</v>
      </c>
      <c r="E214">
        <v>1</v>
      </c>
      <c r="F214">
        <v>1</v>
      </c>
      <c r="G214">
        <v>1</v>
      </c>
      <c r="H214">
        <v>3</v>
      </c>
      <c r="I214" t="s">
        <v>686</v>
      </c>
      <c r="J214" t="s">
        <v>687</v>
      </c>
      <c r="K214" t="s">
        <v>688</v>
      </c>
      <c r="L214">
        <v>1348</v>
      </c>
      <c r="N214">
        <v>1009</v>
      </c>
      <c r="O214" t="s">
        <v>337</v>
      </c>
      <c r="P214" t="s">
        <v>337</v>
      </c>
      <c r="Q214">
        <v>1000</v>
      </c>
      <c r="X214">
        <v>5.0000000000000001E-3</v>
      </c>
      <c r="Y214">
        <v>2816.36</v>
      </c>
      <c r="Z214">
        <v>0</v>
      </c>
      <c r="AA214">
        <v>0</v>
      </c>
      <c r="AB214">
        <v>0</v>
      </c>
      <c r="AC214">
        <v>0</v>
      </c>
      <c r="AD214">
        <v>1</v>
      </c>
      <c r="AE214">
        <v>0</v>
      </c>
      <c r="AF214" t="s">
        <v>3</v>
      </c>
      <c r="AG214">
        <v>5.0000000000000001E-3</v>
      </c>
      <c r="AH214">
        <v>2</v>
      </c>
      <c r="AI214">
        <v>47921787</v>
      </c>
      <c r="AJ214">
        <v>209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>
      <c r="A215">
        <f>ROW(Source!A206)</f>
        <v>206</v>
      </c>
      <c r="B215">
        <v>47921797</v>
      </c>
      <c r="C215">
        <v>47921780</v>
      </c>
      <c r="D215">
        <v>13559968</v>
      </c>
      <c r="E215">
        <v>1</v>
      </c>
      <c r="F215">
        <v>1</v>
      </c>
      <c r="G215">
        <v>1</v>
      </c>
      <c r="H215">
        <v>3</v>
      </c>
      <c r="I215" t="s">
        <v>678</v>
      </c>
      <c r="J215" t="s">
        <v>679</v>
      </c>
      <c r="K215" t="s">
        <v>680</v>
      </c>
      <c r="L215">
        <v>1348</v>
      </c>
      <c r="N215">
        <v>1009</v>
      </c>
      <c r="O215" t="s">
        <v>337</v>
      </c>
      <c r="P215" t="s">
        <v>337</v>
      </c>
      <c r="Q215">
        <v>1000</v>
      </c>
      <c r="X215">
        <v>7.3999999999999996E-2</v>
      </c>
      <c r="Y215">
        <v>2395.06</v>
      </c>
      <c r="Z215">
        <v>0</v>
      </c>
      <c r="AA215">
        <v>0</v>
      </c>
      <c r="AB215">
        <v>0</v>
      </c>
      <c r="AC215">
        <v>0</v>
      </c>
      <c r="AD215">
        <v>1</v>
      </c>
      <c r="AE215">
        <v>0</v>
      </c>
      <c r="AF215" t="s">
        <v>3</v>
      </c>
      <c r="AG215">
        <v>7.3999999999999996E-2</v>
      </c>
      <c r="AH215">
        <v>2</v>
      </c>
      <c r="AI215">
        <v>47921788</v>
      </c>
      <c r="AJ215">
        <v>210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>
      <c r="A216">
        <f>ROW(Source!A206)</f>
        <v>206</v>
      </c>
      <c r="B216">
        <v>47921798</v>
      </c>
      <c r="C216">
        <v>47921780</v>
      </c>
      <c r="D216">
        <v>13637642</v>
      </c>
      <c r="E216">
        <v>1</v>
      </c>
      <c r="F216">
        <v>1</v>
      </c>
      <c r="G216">
        <v>1</v>
      </c>
      <c r="H216">
        <v>3</v>
      </c>
      <c r="I216" t="s">
        <v>335</v>
      </c>
      <c r="J216" t="s">
        <v>338</v>
      </c>
      <c r="K216" t="s">
        <v>336</v>
      </c>
      <c r="L216">
        <v>1348</v>
      </c>
      <c r="N216">
        <v>1009</v>
      </c>
      <c r="O216" t="s">
        <v>337</v>
      </c>
      <c r="P216" t="s">
        <v>337</v>
      </c>
      <c r="Q216">
        <v>1000</v>
      </c>
      <c r="X216">
        <v>101</v>
      </c>
      <c r="Y216">
        <v>375.32</v>
      </c>
      <c r="Z216">
        <v>0</v>
      </c>
      <c r="AA216">
        <v>0</v>
      </c>
      <c r="AB216">
        <v>0</v>
      </c>
      <c r="AC216">
        <v>0</v>
      </c>
      <c r="AD216">
        <v>1</v>
      </c>
      <c r="AE216">
        <v>0</v>
      </c>
      <c r="AF216" t="s">
        <v>3</v>
      </c>
      <c r="AG216">
        <v>101</v>
      </c>
      <c r="AH216">
        <v>2</v>
      </c>
      <c r="AI216">
        <v>47921789</v>
      </c>
      <c r="AJ216">
        <v>211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>
      <c r="A217">
        <f>ROW(Source!A208)</f>
        <v>208</v>
      </c>
      <c r="B217">
        <v>47921825</v>
      </c>
      <c r="C217">
        <v>47921800</v>
      </c>
      <c r="D217">
        <v>9915065</v>
      </c>
      <c r="E217">
        <v>1</v>
      </c>
      <c r="F217">
        <v>1</v>
      </c>
      <c r="G217">
        <v>1</v>
      </c>
      <c r="H217">
        <v>1</v>
      </c>
      <c r="I217" t="s">
        <v>689</v>
      </c>
      <c r="J217" t="s">
        <v>3</v>
      </c>
      <c r="K217" t="s">
        <v>690</v>
      </c>
      <c r="L217">
        <v>1191</v>
      </c>
      <c r="N217">
        <v>1013</v>
      </c>
      <c r="O217" t="s">
        <v>460</v>
      </c>
      <c r="P217" t="s">
        <v>460</v>
      </c>
      <c r="Q217">
        <v>1</v>
      </c>
      <c r="X217">
        <v>20.86</v>
      </c>
      <c r="Y217">
        <v>0</v>
      </c>
      <c r="Z217">
        <v>0</v>
      </c>
      <c r="AA217">
        <v>0</v>
      </c>
      <c r="AB217">
        <v>8.5</v>
      </c>
      <c r="AC217">
        <v>0</v>
      </c>
      <c r="AD217">
        <v>1</v>
      </c>
      <c r="AE217">
        <v>1</v>
      </c>
      <c r="AF217" t="s">
        <v>20</v>
      </c>
      <c r="AG217">
        <v>28.786799999999999</v>
      </c>
      <c r="AH217">
        <v>2</v>
      </c>
      <c r="AI217">
        <v>47921801</v>
      </c>
      <c r="AJ217">
        <v>212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>
      <c r="A218">
        <f>ROW(Source!A208)</f>
        <v>208</v>
      </c>
      <c r="B218">
        <v>47921826</v>
      </c>
      <c r="C218">
        <v>47921800</v>
      </c>
      <c r="D218">
        <v>121548</v>
      </c>
      <c r="E218">
        <v>1</v>
      </c>
      <c r="F218">
        <v>1</v>
      </c>
      <c r="G218">
        <v>1</v>
      </c>
      <c r="H218">
        <v>1</v>
      </c>
      <c r="I218" t="s">
        <v>26</v>
      </c>
      <c r="J218" t="s">
        <v>3</v>
      </c>
      <c r="K218" t="s">
        <v>461</v>
      </c>
      <c r="L218">
        <v>608254</v>
      </c>
      <c r="N218">
        <v>1013</v>
      </c>
      <c r="O218" t="s">
        <v>462</v>
      </c>
      <c r="P218" t="s">
        <v>462</v>
      </c>
      <c r="Q218">
        <v>1</v>
      </c>
      <c r="X218">
        <v>18.649999999999999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1</v>
      </c>
      <c r="AE218">
        <v>2</v>
      </c>
      <c r="AF218" t="s">
        <v>20</v>
      </c>
      <c r="AG218">
        <v>25.736999999999998</v>
      </c>
      <c r="AH218">
        <v>2</v>
      </c>
      <c r="AI218">
        <v>47921802</v>
      </c>
      <c r="AJ218">
        <v>213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</row>
    <row r="219" spans="1:44">
      <c r="A219">
        <f>ROW(Source!A208)</f>
        <v>208</v>
      </c>
      <c r="B219">
        <v>47921827</v>
      </c>
      <c r="C219">
        <v>47921800</v>
      </c>
      <c r="D219">
        <v>13554643</v>
      </c>
      <c r="E219">
        <v>1</v>
      </c>
      <c r="F219">
        <v>1</v>
      </c>
      <c r="G219">
        <v>1</v>
      </c>
      <c r="H219">
        <v>2</v>
      </c>
      <c r="I219" t="s">
        <v>663</v>
      </c>
      <c r="J219" t="s">
        <v>664</v>
      </c>
      <c r="K219" t="s">
        <v>665</v>
      </c>
      <c r="L219">
        <v>1368</v>
      </c>
      <c r="N219">
        <v>1011</v>
      </c>
      <c r="O219" t="s">
        <v>468</v>
      </c>
      <c r="P219" t="s">
        <v>468</v>
      </c>
      <c r="Q219">
        <v>1</v>
      </c>
      <c r="X219">
        <v>0.55000000000000004</v>
      </c>
      <c r="Y219">
        <v>0</v>
      </c>
      <c r="Z219">
        <v>108.42</v>
      </c>
      <c r="AA219">
        <v>9.7799999999999994</v>
      </c>
      <c r="AB219">
        <v>0</v>
      </c>
      <c r="AC219">
        <v>0</v>
      </c>
      <c r="AD219">
        <v>1</v>
      </c>
      <c r="AE219">
        <v>0</v>
      </c>
      <c r="AF219" t="s">
        <v>20</v>
      </c>
      <c r="AG219">
        <v>0.75900000000000001</v>
      </c>
      <c r="AH219">
        <v>2</v>
      </c>
      <c r="AI219">
        <v>47921803</v>
      </c>
      <c r="AJ219">
        <v>214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>
      <c r="A220">
        <f>ROW(Source!A208)</f>
        <v>208</v>
      </c>
      <c r="B220">
        <v>47921828</v>
      </c>
      <c r="C220">
        <v>47921800</v>
      </c>
      <c r="D220">
        <v>13554663</v>
      </c>
      <c r="E220">
        <v>1</v>
      </c>
      <c r="F220">
        <v>1</v>
      </c>
      <c r="G220">
        <v>1</v>
      </c>
      <c r="H220">
        <v>2</v>
      </c>
      <c r="I220" t="s">
        <v>691</v>
      </c>
      <c r="J220" t="s">
        <v>692</v>
      </c>
      <c r="K220" t="s">
        <v>693</v>
      </c>
      <c r="L220">
        <v>1368</v>
      </c>
      <c r="N220">
        <v>1011</v>
      </c>
      <c r="O220" t="s">
        <v>468</v>
      </c>
      <c r="P220" t="s">
        <v>468</v>
      </c>
      <c r="Q220">
        <v>1</v>
      </c>
      <c r="X220">
        <v>2.44</v>
      </c>
      <c r="Y220">
        <v>0</v>
      </c>
      <c r="Z220">
        <v>1.33</v>
      </c>
      <c r="AA220">
        <v>0</v>
      </c>
      <c r="AB220">
        <v>0</v>
      </c>
      <c r="AC220">
        <v>0</v>
      </c>
      <c r="AD220">
        <v>1</v>
      </c>
      <c r="AE220">
        <v>0</v>
      </c>
      <c r="AF220" t="s">
        <v>20</v>
      </c>
      <c r="AG220">
        <v>3.3671999999999995</v>
      </c>
      <c r="AH220">
        <v>2</v>
      </c>
      <c r="AI220">
        <v>47921804</v>
      </c>
      <c r="AJ220">
        <v>215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>
      <c r="A221">
        <f>ROW(Source!A208)</f>
        <v>208</v>
      </c>
      <c r="B221">
        <v>47921829</v>
      </c>
      <c r="C221">
        <v>47921800</v>
      </c>
      <c r="D221">
        <v>13555267</v>
      </c>
      <c r="E221">
        <v>1</v>
      </c>
      <c r="F221">
        <v>1</v>
      </c>
      <c r="G221">
        <v>1</v>
      </c>
      <c r="H221">
        <v>2</v>
      </c>
      <c r="I221" t="s">
        <v>694</v>
      </c>
      <c r="J221" t="s">
        <v>695</v>
      </c>
      <c r="K221" t="s">
        <v>696</v>
      </c>
      <c r="L221">
        <v>1368</v>
      </c>
      <c r="N221">
        <v>1011</v>
      </c>
      <c r="O221" t="s">
        <v>468</v>
      </c>
      <c r="P221" t="s">
        <v>468</v>
      </c>
      <c r="Q221">
        <v>1</v>
      </c>
      <c r="X221">
        <v>0.97</v>
      </c>
      <c r="Y221">
        <v>0</v>
      </c>
      <c r="Z221">
        <v>234.33</v>
      </c>
      <c r="AA221">
        <v>13.12</v>
      </c>
      <c r="AB221">
        <v>0</v>
      </c>
      <c r="AC221">
        <v>0</v>
      </c>
      <c r="AD221">
        <v>1</v>
      </c>
      <c r="AE221">
        <v>0</v>
      </c>
      <c r="AF221" t="s">
        <v>20</v>
      </c>
      <c r="AG221">
        <v>1.3385999999999998</v>
      </c>
      <c r="AH221">
        <v>2</v>
      </c>
      <c r="AI221">
        <v>47921805</v>
      </c>
      <c r="AJ221">
        <v>216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>
      <c r="A222">
        <f>ROW(Source!A208)</f>
        <v>208</v>
      </c>
      <c r="B222">
        <v>47921830</v>
      </c>
      <c r="C222">
        <v>47921800</v>
      </c>
      <c r="D222">
        <v>13555316</v>
      </c>
      <c r="E222">
        <v>1</v>
      </c>
      <c r="F222">
        <v>1</v>
      </c>
      <c r="G222">
        <v>1</v>
      </c>
      <c r="H222">
        <v>2</v>
      </c>
      <c r="I222" t="s">
        <v>697</v>
      </c>
      <c r="J222" t="s">
        <v>698</v>
      </c>
      <c r="K222" t="s">
        <v>699</v>
      </c>
      <c r="L222">
        <v>1368</v>
      </c>
      <c r="N222">
        <v>1011</v>
      </c>
      <c r="O222" t="s">
        <v>468</v>
      </c>
      <c r="P222" t="s">
        <v>468</v>
      </c>
      <c r="Q222">
        <v>1</v>
      </c>
      <c r="X222">
        <v>2.04</v>
      </c>
      <c r="Y222">
        <v>0</v>
      </c>
      <c r="Z222">
        <v>1511.07</v>
      </c>
      <c r="AA222">
        <v>14</v>
      </c>
      <c r="AB222">
        <v>0</v>
      </c>
      <c r="AC222">
        <v>0</v>
      </c>
      <c r="AD222">
        <v>1</v>
      </c>
      <c r="AE222">
        <v>0</v>
      </c>
      <c r="AF222" t="s">
        <v>20</v>
      </c>
      <c r="AG222">
        <v>2.8151999999999999</v>
      </c>
      <c r="AH222">
        <v>2</v>
      </c>
      <c r="AI222">
        <v>47921806</v>
      </c>
      <c r="AJ222">
        <v>217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</row>
    <row r="223" spans="1:44">
      <c r="A223">
        <f>ROW(Source!A208)</f>
        <v>208</v>
      </c>
      <c r="B223">
        <v>47921831</v>
      </c>
      <c r="C223">
        <v>47921800</v>
      </c>
      <c r="D223">
        <v>13555345</v>
      </c>
      <c r="E223">
        <v>1</v>
      </c>
      <c r="F223">
        <v>1</v>
      </c>
      <c r="G223">
        <v>1</v>
      </c>
      <c r="H223">
        <v>2</v>
      </c>
      <c r="I223" t="s">
        <v>596</v>
      </c>
      <c r="J223" t="s">
        <v>597</v>
      </c>
      <c r="K223" t="s">
        <v>598</v>
      </c>
      <c r="L223">
        <v>1368</v>
      </c>
      <c r="N223">
        <v>1011</v>
      </c>
      <c r="O223" t="s">
        <v>468</v>
      </c>
      <c r="P223" t="s">
        <v>468</v>
      </c>
      <c r="Q223">
        <v>1</v>
      </c>
      <c r="X223">
        <v>3.1</v>
      </c>
      <c r="Y223">
        <v>0</v>
      </c>
      <c r="Z223">
        <v>134.79</v>
      </c>
      <c r="AA223">
        <v>11.28</v>
      </c>
      <c r="AB223">
        <v>0</v>
      </c>
      <c r="AC223">
        <v>0</v>
      </c>
      <c r="AD223">
        <v>1</v>
      </c>
      <c r="AE223">
        <v>0</v>
      </c>
      <c r="AF223" t="s">
        <v>20</v>
      </c>
      <c r="AG223">
        <v>4.2779999999999996</v>
      </c>
      <c r="AH223">
        <v>2</v>
      </c>
      <c r="AI223">
        <v>47921807</v>
      </c>
      <c r="AJ223">
        <v>218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</row>
    <row r="224" spans="1:44">
      <c r="A224">
        <f>ROW(Source!A208)</f>
        <v>208</v>
      </c>
      <c r="B224">
        <v>47921832</v>
      </c>
      <c r="C224">
        <v>47921800</v>
      </c>
      <c r="D224">
        <v>13556601</v>
      </c>
      <c r="E224">
        <v>1</v>
      </c>
      <c r="F224">
        <v>1</v>
      </c>
      <c r="G224">
        <v>1</v>
      </c>
      <c r="H224">
        <v>2</v>
      </c>
      <c r="I224" t="s">
        <v>633</v>
      </c>
      <c r="J224" t="s">
        <v>634</v>
      </c>
      <c r="K224" t="s">
        <v>635</v>
      </c>
      <c r="L224">
        <v>1368</v>
      </c>
      <c r="N224">
        <v>1011</v>
      </c>
      <c r="O224" t="s">
        <v>468</v>
      </c>
      <c r="P224" t="s">
        <v>468</v>
      </c>
      <c r="Q224">
        <v>1</v>
      </c>
      <c r="X224">
        <v>1.1499999999999999</v>
      </c>
      <c r="Y224">
        <v>0</v>
      </c>
      <c r="Z224">
        <v>2.44</v>
      </c>
      <c r="AA224">
        <v>0</v>
      </c>
      <c r="AB224">
        <v>0</v>
      </c>
      <c r="AC224">
        <v>0</v>
      </c>
      <c r="AD224">
        <v>1</v>
      </c>
      <c r="AE224">
        <v>0</v>
      </c>
      <c r="AF224" t="s">
        <v>20</v>
      </c>
      <c r="AG224">
        <v>1.5869999999999997</v>
      </c>
      <c r="AH224">
        <v>2</v>
      </c>
      <c r="AI224">
        <v>47921808</v>
      </c>
      <c r="AJ224">
        <v>219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  <row r="225" spans="1:44">
      <c r="A225">
        <f>ROW(Source!A208)</f>
        <v>208</v>
      </c>
      <c r="B225">
        <v>47921833</v>
      </c>
      <c r="C225">
        <v>47921800</v>
      </c>
      <c r="D225">
        <v>13556869</v>
      </c>
      <c r="E225">
        <v>1</v>
      </c>
      <c r="F225">
        <v>1</v>
      </c>
      <c r="G225">
        <v>1</v>
      </c>
      <c r="H225">
        <v>2</v>
      </c>
      <c r="I225" t="s">
        <v>700</v>
      </c>
      <c r="J225" t="s">
        <v>701</v>
      </c>
      <c r="K225" t="s">
        <v>702</v>
      </c>
      <c r="L225">
        <v>1368</v>
      </c>
      <c r="N225">
        <v>1011</v>
      </c>
      <c r="O225" t="s">
        <v>468</v>
      </c>
      <c r="P225" t="s">
        <v>468</v>
      </c>
      <c r="Q225">
        <v>1</v>
      </c>
      <c r="X225">
        <v>2.04</v>
      </c>
      <c r="Y225">
        <v>0</v>
      </c>
      <c r="Z225">
        <v>846.54</v>
      </c>
      <c r="AA225">
        <v>15.98</v>
      </c>
      <c r="AB225">
        <v>0</v>
      </c>
      <c r="AC225">
        <v>0</v>
      </c>
      <c r="AD225">
        <v>1</v>
      </c>
      <c r="AE225">
        <v>0</v>
      </c>
      <c r="AF225" t="s">
        <v>20</v>
      </c>
      <c r="AG225">
        <v>2.8151999999999999</v>
      </c>
      <c r="AH225">
        <v>2</v>
      </c>
      <c r="AI225">
        <v>47921809</v>
      </c>
      <c r="AJ225">
        <v>220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</row>
    <row r="226" spans="1:44">
      <c r="A226">
        <f>ROW(Source!A208)</f>
        <v>208</v>
      </c>
      <c r="B226">
        <v>47921834</v>
      </c>
      <c r="C226">
        <v>47921800</v>
      </c>
      <c r="D226">
        <v>13556870</v>
      </c>
      <c r="E226">
        <v>1</v>
      </c>
      <c r="F226">
        <v>1</v>
      </c>
      <c r="G226">
        <v>1</v>
      </c>
      <c r="H226">
        <v>2</v>
      </c>
      <c r="I226" t="s">
        <v>703</v>
      </c>
      <c r="J226" t="s">
        <v>704</v>
      </c>
      <c r="K226" t="s">
        <v>705</v>
      </c>
      <c r="L226">
        <v>1368</v>
      </c>
      <c r="N226">
        <v>1011</v>
      </c>
      <c r="O226" t="s">
        <v>468</v>
      </c>
      <c r="P226" t="s">
        <v>468</v>
      </c>
      <c r="Q226">
        <v>1</v>
      </c>
      <c r="X226">
        <v>2.04</v>
      </c>
      <c r="Y226">
        <v>0</v>
      </c>
      <c r="Z226">
        <v>23.24</v>
      </c>
      <c r="AA226">
        <v>0</v>
      </c>
      <c r="AB226">
        <v>0</v>
      </c>
      <c r="AC226">
        <v>0</v>
      </c>
      <c r="AD226">
        <v>1</v>
      </c>
      <c r="AE226">
        <v>0</v>
      </c>
      <c r="AF226" t="s">
        <v>20</v>
      </c>
      <c r="AG226">
        <v>2.8151999999999999</v>
      </c>
      <c r="AH226">
        <v>2</v>
      </c>
      <c r="AI226">
        <v>47921810</v>
      </c>
      <c r="AJ226">
        <v>221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</row>
    <row r="227" spans="1:44">
      <c r="A227">
        <f>ROW(Source!A208)</f>
        <v>208</v>
      </c>
      <c r="B227">
        <v>47921835</v>
      </c>
      <c r="C227">
        <v>47921800</v>
      </c>
      <c r="D227">
        <v>13556871</v>
      </c>
      <c r="E227">
        <v>1</v>
      </c>
      <c r="F227">
        <v>1</v>
      </c>
      <c r="G227">
        <v>1</v>
      </c>
      <c r="H227">
        <v>2</v>
      </c>
      <c r="I227" t="s">
        <v>706</v>
      </c>
      <c r="J227" t="s">
        <v>707</v>
      </c>
      <c r="K227" t="s">
        <v>708</v>
      </c>
      <c r="L227">
        <v>1368</v>
      </c>
      <c r="N227">
        <v>1011</v>
      </c>
      <c r="O227" t="s">
        <v>468</v>
      </c>
      <c r="P227" t="s">
        <v>468</v>
      </c>
      <c r="Q227">
        <v>1</v>
      </c>
      <c r="X227">
        <v>1.51</v>
      </c>
      <c r="Y227">
        <v>0</v>
      </c>
      <c r="Z227">
        <v>359.36</v>
      </c>
      <c r="AA227">
        <v>13.12</v>
      </c>
      <c r="AB227">
        <v>0</v>
      </c>
      <c r="AC227">
        <v>0</v>
      </c>
      <c r="AD227">
        <v>1</v>
      </c>
      <c r="AE227">
        <v>0</v>
      </c>
      <c r="AF227" t="s">
        <v>20</v>
      </c>
      <c r="AG227">
        <v>2.0837999999999997</v>
      </c>
      <c r="AH227">
        <v>2</v>
      </c>
      <c r="AI227">
        <v>47921811</v>
      </c>
      <c r="AJ227">
        <v>222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</row>
    <row r="228" spans="1:44">
      <c r="A228">
        <f>ROW(Source!A208)</f>
        <v>208</v>
      </c>
      <c r="B228">
        <v>47921836</v>
      </c>
      <c r="C228">
        <v>47921800</v>
      </c>
      <c r="D228">
        <v>13556872</v>
      </c>
      <c r="E228">
        <v>1</v>
      </c>
      <c r="F228">
        <v>1</v>
      </c>
      <c r="G228">
        <v>1</v>
      </c>
      <c r="H228">
        <v>2</v>
      </c>
      <c r="I228" t="s">
        <v>709</v>
      </c>
      <c r="J228" t="s">
        <v>710</v>
      </c>
      <c r="K228" t="s">
        <v>711</v>
      </c>
      <c r="L228">
        <v>1368</v>
      </c>
      <c r="N228">
        <v>1011</v>
      </c>
      <c r="O228" t="s">
        <v>468</v>
      </c>
      <c r="P228" t="s">
        <v>468</v>
      </c>
      <c r="Q228">
        <v>1</v>
      </c>
      <c r="X228">
        <v>2.59</v>
      </c>
      <c r="Y228">
        <v>0</v>
      </c>
      <c r="Z228">
        <v>142.88</v>
      </c>
      <c r="AA228">
        <v>13.12</v>
      </c>
      <c r="AB228">
        <v>0</v>
      </c>
      <c r="AC228">
        <v>0</v>
      </c>
      <c r="AD228">
        <v>1</v>
      </c>
      <c r="AE228">
        <v>0</v>
      </c>
      <c r="AF228" t="s">
        <v>20</v>
      </c>
      <c r="AG228">
        <v>3.5741999999999994</v>
      </c>
      <c r="AH228">
        <v>2</v>
      </c>
      <c r="AI228">
        <v>47921812</v>
      </c>
      <c r="AJ228">
        <v>223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</row>
    <row r="229" spans="1:44">
      <c r="A229">
        <f>ROW(Source!A208)</f>
        <v>208</v>
      </c>
      <c r="B229">
        <v>47921837</v>
      </c>
      <c r="C229">
        <v>47921800</v>
      </c>
      <c r="D229">
        <v>13556873</v>
      </c>
      <c r="E229">
        <v>1</v>
      </c>
      <c r="F229">
        <v>1</v>
      </c>
      <c r="G229">
        <v>1</v>
      </c>
      <c r="H229">
        <v>2</v>
      </c>
      <c r="I229" t="s">
        <v>712</v>
      </c>
      <c r="J229" t="s">
        <v>713</v>
      </c>
      <c r="K229" t="s">
        <v>714</v>
      </c>
      <c r="L229">
        <v>1368</v>
      </c>
      <c r="N229">
        <v>1011</v>
      </c>
      <c r="O229" t="s">
        <v>468</v>
      </c>
      <c r="P229" t="s">
        <v>468</v>
      </c>
      <c r="Q229">
        <v>1</v>
      </c>
      <c r="X229">
        <v>2.14</v>
      </c>
      <c r="Y229">
        <v>0</v>
      </c>
      <c r="Z229">
        <v>571.76</v>
      </c>
      <c r="AA229">
        <v>13.12</v>
      </c>
      <c r="AB229">
        <v>0</v>
      </c>
      <c r="AC229">
        <v>0</v>
      </c>
      <c r="AD229">
        <v>1</v>
      </c>
      <c r="AE229">
        <v>0</v>
      </c>
      <c r="AF229" t="s">
        <v>20</v>
      </c>
      <c r="AG229">
        <v>2.9531999999999998</v>
      </c>
      <c r="AH229">
        <v>2</v>
      </c>
      <c r="AI229">
        <v>47921813</v>
      </c>
      <c r="AJ229">
        <v>224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</row>
    <row r="230" spans="1:44">
      <c r="A230">
        <f>ROW(Source!A208)</f>
        <v>208</v>
      </c>
      <c r="B230">
        <v>47921838</v>
      </c>
      <c r="C230">
        <v>47921800</v>
      </c>
      <c r="D230">
        <v>13556895</v>
      </c>
      <c r="E230">
        <v>1</v>
      </c>
      <c r="F230">
        <v>1</v>
      </c>
      <c r="G230">
        <v>1</v>
      </c>
      <c r="H230">
        <v>2</v>
      </c>
      <c r="I230" t="s">
        <v>715</v>
      </c>
      <c r="J230" t="s">
        <v>716</v>
      </c>
      <c r="K230" t="s">
        <v>717</v>
      </c>
      <c r="L230">
        <v>1368</v>
      </c>
      <c r="N230">
        <v>1011</v>
      </c>
      <c r="O230" t="s">
        <v>468</v>
      </c>
      <c r="P230" t="s">
        <v>468</v>
      </c>
      <c r="Q230">
        <v>1</v>
      </c>
      <c r="X230">
        <v>3.71</v>
      </c>
      <c r="Y230">
        <v>0</v>
      </c>
      <c r="Z230">
        <v>241.5</v>
      </c>
      <c r="AA230">
        <v>9.7799999999999994</v>
      </c>
      <c r="AB230">
        <v>0</v>
      </c>
      <c r="AC230">
        <v>0</v>
      </c>
      <c r="AD230">
        <v>1</v>
      </c>
      <c r="AE230">
        <v>0</v>
      </c>
      <c r="AF230" t="s">
        <v>20</v>
      </c>
      <c r="AG230">
        <v>5.1197999999999997</v>
      </c>
      <c r="AH230">
        <v>2</v>
      </c>
      <c r="AI230">
        <v>47921814</v>
      </c>
      <c r="AJ230">
        <v>225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</row>
    <row r="231" spans="1:44">
      <c r="A231">
        <f>ROW(Source!A208)</f>
        <v>208</v>
      </c>
      <c r="B231">
        <v>47921839</v>
      </c>
      <c r="C231">
        <v>47921800</v>
      </c>
      <c r="D231">
        <v>13556938</v>
      </c>
      <c r="E231">
        <v>1</v>
      </c>
      <c r="F231">
        <v>1</v>
      </c>
      <c r="G231">
        <v>1</v>
      </c>
      <c r="H231">
        <v>2</v>
      </c>
      <c r="I231" t="s">
        <v>718</v>
      </c>
      <c r="J231" t="s">
        <v>719</v>
      </c>
      <c r="K231" t="s">
        <v>720</v>
      </c>
      <c r="L231">
        <v>1368</v>
      </c>
      <c r="N231">
        <v>1011</v>
      </c>
      <c r="O231" t="s">
        <v>468</v>
      </c>
      <c r="P231" t="s">
        <v>468</v>
      </c>
      <c r="Q231">
        <v>1</v>
      </c>
      <c r="X231">
        <v>1.52</v>
      </c>
      <c r="Y231">
        <v>0</v>
      </c>
      <c r="Z231">
        <v>49.77</v>
      </c>
      <c r="AA231">
        <v>0</v>
      </c>
      <c r="AB231">
        <v>0</v>
      </c>
      <c r="AC231">
        <v>0</v>
      </c>
      <c r="AD231">
        <v>1</v>
      </c>
      <c r="AE231">
        <v>0</v>
      </c>
      <c r="AF231" t="s">
        <v>20</v>
      </c>
      <c r="AG231">
        <v>2.0975999999999995</v>
      </c>
      <c r="AH231">
        <v>2</v>
      </c>
      <c r="AI231">
        <v>47921815</v>
      </c>
      <c r="AJ231">
        <v>226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</row>
    <row r="232" spans="1:44">
      <c r="A232">
        <f>ROW(Source!A208)</f>
        <v>208</v>
      </c>
      <c r="B232">
        <v>47921840</v>
      </c>
      <c r="C232">
        <v>47921800</v>
      </c>
      <c r="D232">
        <v>13557012</v>
      </c>
      <c r="E232">
        <v>1</v>
      </c>
      <c r="F232">
        <v>1</v>
      </c>
      <c r="G232">
        <v>1</v>
      </c>
      <c r="H232">
        <v>2</v>
      </c>
      <c r="I232" t="s">
        <v>721</v>
      </c>
      <c r="J232" t="s">
        <v>722</v>
      </c>
      <c r="K232" t="s">
        <v>723</v>
      </c>
      <c r="L232">
        <v>1368</v>
      </c>
      <c r="N232">
        <v>1011</v>
      </c>
      <c r="O232" t="s">
        <v>468</v>
      </c>
      <c r="P232" t="s">
        <v>468</v>
      </c>
      <c r="Q232">
        <v>1</v>
      </c>
      <c r="X232">
        <v>0.2</v>
      </c>
      <c r="Y232">
        <v>0</v>
      </c>
      <c r="Z232">
        <v>136.96</v>
      </c>
      <c r="AA232">
        <v>0</v>
      </c>
      <c r="AB232">
        <v>0</v>
      </c>
      <c r="AC232">
        <v>0</v>
      </c>
      <c r="AD232">
        <v>1</v>
      </c>
      <c r="AE232">
        <v>0</v>
      </c>
      <c r="AF232" t="s">
        <v>20</v>
      </c>
      <c r="AG232">
        <v>0.27599999999999997</v>
      </c>
      <c r="AH232">
        <v>2</v>
      </c>
      <c r="AI232">
        <v>47921816</v>
      </c>
      <c r="AJ232">
        <v>227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</row>
    <row r="233" spans="1:44">
      <c r="A233">
        <f>ROW(Source!A208)</f>
        <v>208</v>
      </c>
      <c r="B233">
        <v>47921841</v>
      </c>
      <c r="C233">
        <v>47921800</v>
      </c>
      <c r="D233">
        <v>13558883</v>
      </c>
      <c r="E233">
        <v>1</v>
      </c>
      <c r="F233">
        <v>1</v>
      </c>
      <c r="G233">
        <v>1</v>
      </c>
      <c r="H233">
        <v>3</v>
      </c>
      <c r="I233" t="s">
        <v>724</v>
      </c>
      <c r="J233" t="s">
        <v>725</v>
      </c>
      <c r="K233" t="s">
        <v>726</v>
      </c>
      <c r="L233">
        <v>1348</v>
      </c>
      <c r="N233">
        <v>1009</v>
      </c>
      <c r="O233" t="s">
        <v>337</v>
      </c>
      <c r="P233" t="s">
        <v>337</v>
      </c>
      <c r="Q233">
        <v>1000</v>
      </c>
      <c r="X233">
        <v>8.0000000000000004E-4</v>
      </c>
      <c r="Y233">
        <v>9233.7900000000009</v>
      </c>
      <c r="Z233">
        <v>0</v>
      </c>
      <c r="AA233">
        <v>0</v>
      </c>
      <c r="AB233">
        <v>0</v>
      </c>
      <c r="AC233">
        <v>0</v>
      </c>
      <c r="AD233">
        <v>1</v>
      </c>
      <c r="AE233">
        <v>0</v>
      </c>
      <c r="AF233" t="s">
        <v>3</v>
      </c>
      <c r="AG233">
        <v>8.0000000000000004E-4</v>
      </c>
      <c r="AH233">
        <v>2</v>
      </c>
      <c r="AI233">
        <v>47921817</v>
      </c>
      <c r="AJ233">
        <v>228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</row>
    <row r="234" spans="1:44">
      <c r="A234">
        <f>ROW(Source!A208)</f>
        <v>208</v>
      </c>
      <c r="B234">
        <v>47921842</v>
      </c>
      <c r="C234">
        <v>47921800</v>
      </c>
      <c r="D234">
        <v>13560106</v>
      </c>
      <c r="E234">
        <v>1</v>
      </c>
      <c r="F234">
        <v>1</v>
      </c>
      <c r="G234">
        <v>1</v>
      </c>
      <c r="H234">
        <v>3</v>
      </c>
      <c r="I234" t="s">
        <v>727</v>
      </c>
      <c r="J234" t="s">
        <v>728</v>
      </c>
      <c r="K234" t="s">
        <v>729</v>
      </c>
      <c r="L234">
        <v>1354</v>
      </c>
      <c r="N234">
        <v>1010</v>
      </c>
      <c r="O234" t="s">
        <v>363</v>
      </c>
      <c r="P234" t="s">
        <v>363</v>
      </c>
      <c r="Q234">
        <v>1</v>
      </c>
      <c r="X234">
        <v>0.78200000000000003</v>
      </c>
      <c r="Y234">
        <v>9075.86</v>
      </c>
      <c r="Z234">
        <v>0</v>
      </c>
      <c r="AA234">
        <v>0</v>
      </c>
      <c r="AB234">
        <v>0</v>
      </c>
      <c r="AC234">
        <v>0</v>
      </c>
      <c r="AD234">
        <v>1</v>
      </c>
      <c r="AE234">
        <v>0</v>
      </c>
      <c r="AF234" t="s">
        <v>3</v>
      </c>
      <c r="AG234">
        <v>0.78200000000000003</v>
      </c>
      <c r="AH234">
        <v>2</v>
      </c>
      <c r="AI234">
        <v>47921818</v>
      </c>
      <c r="AJ234">
        <v>229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</row>
    <row r="235" spans="1:44">
      <c r="A235">
        <f>ROW(Source!A208)</f>
        <v>208</v>
      </c>
      <c r="B235">
        <v>47921843</v>
      </c>
      <c r="C235">
        <v>47921800</v>
      </c>
      <c r="D235">
        <v>13560129</v>
      </c>
      <c r="E235">
        <v>1</v>
      </c>
      <c r="F235">
        <v>1</v>
      </c>
      <c r="G235">
        <v>1</v>
      </c>
      <c r="H235">
        <v>3</v>
      </c>
      <c r="I235" t="s">
        <v>730</v>
      </c>
      <c r="J235" t="s">
        <v>731</v>
      </c>
      <c r="K235" t="s">
        <v>732</v>
      </c>
      <c r="L235">
        <v>1348</v>
      </c>
      <c r="N235">
        <v>1009</v>
      </c>
      <c r="O235" t="s">
        <v>337</v>
      </c>
      <c r="P235" t="s">
        <v>337</v>
      </c>
      <c r="Q235">
        <v>1000</v>
      </c>
      <c r="X235">
        <v>2.3999999999999998E-3</v>
      </c>
      <c r="Y235">
        <v>12000</v>
      </c>
      <c r="Z235">
        <v>0</v>
      </c>
      <c r="AA235">
        <v>0</v>
      </c>
      <c r="AB235">
        <v>0</v>
      </c>
      <c r="AC235">
        <v>0</v>
      </c>
      <c r="AD235">
        <v>1</v>
      </c>
      <c r="AE235">
        <v>0</v>
      </c>
      <c r="AF235" t="s">
        <v>3</v>
      </c>
      <c r="AG235">
        <v>2.3999999999999998E-3</v>
      </c>
      <c r="AH235">
        <v>2</v>
      </c>
      <c r="AI235">
        <v>47921819</v>
      </c>
      <c r="AJ235">
        <v>230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</row>
    <row r="236" spans="1:44">
      <c r="A236">
        <f>ROW(Source!A208)</f>
        <v>208</v>
      </c>
      <c r="B236">
        <v>47921844</v>
      </c>
      <c r="C236">
        <v>47921800</v>
      </c>
      <c r="D236">
        <v>13560252</v>
      </c>
      <c r="E236">
        <v>1</v>
      </c>
      <c r="F236">
        <v>1</v>
      </c>
      <c r="G236">
        <v>1</v>
      </c>
      <c r="H236">
        <v>3</v>
      </c>
      <c r="I236" t="s">
        <v>733</v>
      </c>
      <c r="J236" t="s">
        <v>734</v>
      </c>
      <c r="K236" t="s">
        <v>735</v>
      </c>
      <c r="L236">
        <v>1348</v>
      </c>
      <c r="N236">
        <v>1009</v>
      </c>
      <c r="O236" t="s">
        <v>337</v>
      </c>
      <c r="P236" t="s">
        <v>337</v>
      </c>
      <c r="Q236">
        <v>1000</v>
      </c>
      <c r="X236">
        <v>4.0000000000000001E-3</v>
      </c>
      <c r="Y236">
        <v>3229.25</v>
      </c>
      <c r="Z236">
        <v>0</v>
      </c>
      <c r="AA236">
        <v>0</v>
      </c>
      <c r="AB236">
        <v>0</v>
      </c>
      <c r="AC236">
        <v>0</v>
      </c>
      <c r="AD236">
        <v>1</v>
      </c>
      <c r="AE236">
        <v>0</v>
      </c>
      <c r="AF236" t="s">
        <v>3</v>
      </c>
      <c r="AG236">
        <v>4.0000000000000001E-3</v>
      </c>
      <c r="AH236">
        <v>2</v>
      </c>
      <c r="AI236">
        <v>47921820</v>
      </c>
      <c r="AJ236">
        <v>231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</row>
    <row r="237" spans="1:44">
      <c r="A237">
        <f>ROW(Source!A208)</f>
        <v>208</v>
      </c>
      <c r="B237">
        <v>47921845</v>
      </c>
      <c r="C237">
        <v>47921800</v>
      </c>
      <c r="D237">
        <v>13560400</v>
      </c>
      <c r="E237">
        <v>1</v>
      </c>
      <c r="F237">
        <v>1</v>
      </c>
      <c r="G237">
        <v>1</v>
      </c>
      <c r="H237">
        <v>3</v>
      </c>
      <c r="I237" t="s">
        <v>736</v>
      </c>
      <c r="J237" t="s">
        <v>737</v>
      </c>
      <c r="K237" t="s">
        <v>738</v>
      </c>
      <c r="L237">
        <v>1348</v>
      </c>
      <c r="N237">
        <v>1009</v>
      </c>
      <c r="O237" t="s">
        <v>337</v>
      </c>
      <c r="P237" t="s">
        <v>337</v>
      </c>
      <c r="Q237">
        <v>1000</v>
      </c>
      <c r="X237">
        <v>1.2E-2</v>
      </c>
      <c r="Y237">
        <v>11214.52</v>
      </c>
      <c r="Z237">
        <v>0</v>
      </c>
      <c r="AA237">
        <v>0</v>
      </c>
      <c r="AB237">
        <v>0</v>
      </c>
      <c r="AC237">
        <v>0</v>
      </c>
      <c r="AD237">
        <v>1</v>
      </c>
      <c r="AE237">
        <v>0</v>
      </c>
      <c r="AF237" t="s">
        <v>3</v>
      </c>
      <c r="AG237">
        <v>1.2E-2</v>
      </c>
      <c r="AH237">
        <v>2</v>
      </c>
      <c r="AI237">
        <v>47921821</v>
      </c>
      <c r="AJ237">
        <v>232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</row>
    <row r="238" spans="1:44">
      <c r="A238">
        <f>ROW(Source!A208)</f>
        <v>208</v>
      </c>
      <c r="B238">
        <v>47921846</v>
      </c>
      <c r="C238">
        <v>47921800</v>
      </c>
      <c r="D238">
        <v>13597437</v>
      </c>
      <c r="E238">
        <v>1</v>
      </c>
      <c r="F238">
        <v>1</v>
      </c>
      <c r="G238">
        <v>1</v>
      </c>
      <c r="H238">
        <v>3</v>
      </c>
      <c r="I238" t="s">
        <v>739</v>
      </c>
      <c r="J238" t="s">
        <v>740</v>
      </c>
      <c r="K238" t="s">
        <v>741</v>
      </c>
      <c r="L238">
        <v>1348</v>
      </c>
      <c r="N238">
        <v>1009</v>
      </c>
      <c r="O238" t="s">
        <v>337</v>
      </c>
      <c r="P238" t="s">
        <v>337</v>
      </c>
      <c r="Q238">
        <v>1000</v>
      </c>
      <c r="X238">
        <v>8.0000000000000004E-4</v>
      </c>
      <c r="Y238">
        <v>5674.68</v>
      </c>
      <c r="Z238">
        <v>0</v>
      </c>
      <c r="AA238">
        <v>0</v>
      </c>
      <c r="AB238">
        <v>0</v>
      </c>
      <c r="AC238">
        <v>0</v>
      </c>
      <c r="AD238">
        <v>1</v>
      </c>
      <c r="AE238">
        <v>0</v>
      </c>
      <c r="AF238" t="s">
        <v>3</v>
      </c>
      <c r="AG238">
        <v>8.0000000000000004E-4</v>
      </c>
      <c r="AH238">
        <v>2</v>
      </c>
      <c r="AI238">
        <v>47921822</v>
      </c>
      <c r="AJ238">
        <v>233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</row>
    <row r="239" spans="1:44">
      <c r="A239">
        <f>ROW(Source!A208)</f>
        <v>208</v>
      </c>
      <c r="B239">
        <v>47921847</v>
      </c>
      <c r="C239">
        <v>47921800</v>
      </c>
      <c r="D239">
        <v>13637593</v>
      </c>
      <c r="E239">
        <v>1</v>
      </c>
      <c r="F239">
        <v>1</v>
      </c>
      <c r="G239">
        <v>1</v>
      </c>
      <c r="H239">
        <v>3</v>
      </c>
      <c r="I239" t="s">
        <v>345</v>
      </c>
      <c r="J239" t="s">
        <v>347</v>
      </c>
      <c r="K239" t="s">
        <v>346</v>
      </c>
      <c r="L239">
        <v>1348</v>
      </c>
      <c r="N239">
        <v>1009</v>
      </c>
      <c r="O239" t="s">
        <v>337</v>
      </c>
      <c r="P239" t="s">
        <v>337</v>
      </c>
      <c r="Q239">
        <v>1000</v>
      </c>
      <c r="X239">
        <v>105.26</v>
      </c>
      <c r="Y239">
        <v>514.92999999999995</v>
      </c>
      <c r="Z239">
        <v>0</v>
      </c>
      <c r="AA239">
        <v>0</v>
      </c>
      <c r="AB239">
        <v>0</v>
      </c>
      <c r="AC239">
        <v>0</v>
      </c>
      <c r="AD239">
        <v>1</v>
      </c>
      <c r="AE239">
        <v>0</v>
      </c>
      <c r="AF239" t="s">
        <v>3</v>
      </c>
      <c r="AG239">
        <v>105.26</v>
      </c>
      <c r="AH239">
        <v>2</v>
      </c>
      <c r="AI239">
        <v>47921823</v>
      </c>
      <c r="AJ239">
        <v>234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</row>
    <row r="240" spans="1:44">
      <c r="A240">
        <f>ROW(Source!A208)</f>
        <v>208</v>
      </c>
      <c r="B240">
        <v>47921848</v>
      </c>
      <c r="C240">
        <v>47921800</v>
      </c>
      <c r="D240">
        <v>13637755</v>
      </c>
      <c r="E240">
        <v>1</v>
      </c>
      <c r="F240">
        <v>1</v>
      </c>
      <c r="G240">
        <v>1</v>
      </c>
      <c r="H240">
        <v>3</v>
      </c>
      <c r="I240" t="s">
        <v>742</v>
      </c>
      <c r="J240" t="s">
        <v>743</v>
      </c>
      <c r="K240" t="s">
        <v>744</v>
      </c>
      <c r="L240">
        <v>1339</v>
      </c>
      <c r="N240">
        <v>1007</v>
      </c>
      <c r="O240" t="s">
        <v>298</v>
      </c>
      <c r="P240" t="s">
        <v>298</v>
      </c>
      <c r="Q240">
        <v>1</v>
      </c>
      <c r="X240">
        <v>20.52</v>
      </c>
      <c r="Y240">
        <v>6.3</v>
      </c>
      <c r="Z240">
        <v>0</v>
      </c>
      <c r="AA240">
        <v>0</v>
      </c>
      <c r="AB240">
        <v>0</v>
      </c>
      <c r="AC240">
        <v>0</v>
      </c>
      <c r="AD240">
        <v>1</v>
      </c>
      <c r="AE240">
        <v>0</v>
      </c>
      <c r="AF240" t="s">
        <v>3</v>
      </c>
      <c r="AG240">
        <v>20.52</v>
      </c>
      <c r="AH240">
        <v>2</v>
      </c>
      <c r="AI240">
        <v>47921824</v>
      </c>
      <c r="AJ240">
        <v>235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</row>
    <row r="241" spans="1:44">
      <c r="A241">
        <f>ROW(Source!A306)</f>
        <v>306</v>
      </c>
      <c r="B241">
        <v>47921058</v>
      </c>
      <c r="C241">
        <v>47921054</v>
      </c>
      <c r="D241">
        <v>9908273</v>
      </c>
      <c r="E241">
        <v>1</v>
      </c>
      <c r="F241">
        <v>1</v>
      </c>
      <c r="G241">
        <v>1</v>
      </c>
      <c r="H241">
        <v>1</v>
      </c>
      <c r="I241" t="s">
        <v>745</v>
      </c>
      <c r="J241" t="s">
        <v>3</v>
      </c>
      <c r="K241" t="s">
        <v>746</v>
      </c>
      <c r="L241">
        <v>1191</v>
      </c>
      <c r="N241">
        <v>1013</v>
      </c>
      <c r="O241" t="s">
        <v>460</v>
      </c>
      <c r="P241" t="s">
        <v>460</v>
      </c>
      <c r="Q241">
        <v>1</v>
      </c>
      <c r="X241">
        <v>0.41</v>
      </c>
      <c r="Y241">
        <v>0</v>
      </c>
      <c r="Z241">
        <v>0</v>
      </c>
      <c r="AA241">
        <v>0</v>
      </c>
      <c r="AB241">
        <v>12.56</v>
      </c>
      <c r="AC241">
        <v>0</v>
      </c>
      <c r="AD241">
        <v>1</v>
      </c>
      <c r="AE241">
        <v>1</v>
      </c>
      <c r="AF241" t="s">
        <v>389</v>
      </c>
      <c r="AG241">
        <v>0.49199999999999994</v>
      </c>
      <c r="AH241">
        <v>2</v>
      </c>
      <c r="AI241">
        <v>47921055</v>
      </c>
      <c r="AJ241">
        <v>236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</row>
    <row r="242" spans="1:44">
      <c r="A242">
        <f>ROW(Source!A306)</f>
        <v>306</v>
      </c>
      <c r="B242">
        <v>47921059</v>
      </c>
      <c r="C242">
        <v>47921054</v>
      </c>
      <c r="D242">
        <v>121548</v>
      </c>
      <c r="E242">
        <v>1</v>
      </c>
      <c r="F242">
        <v>1</v>
      </c>
      <c r="G242">
        <v>1</v>
      </c>
      <c r="H242">
        <v>1</v>
      </c>
      <c r="I242" t="s">
        <v>26</v>
      </c>
      <c r="J242" t="s">
        <v>3</v>
      </c>
      <c r="K242" t="s">
        <v>461</v>
      </c>
      <c r="L242">
        <v>608254</v>
      </c>
      <c r="N242">
        <v>1013</v>
      </c>
      <c r="O242" t="s">
        <v>462</v>
      </c>
      <c r="P242" t="s">
        <v>462</v>
      </c>
      <c r="Q242">
        <v>1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1</v>
      </c>
      <c r="AE242">
        <v>2</v>
      </c>
      <c r="AF242" t="s">
        <v>3</v>
      </c>
      <c r="AG242">
        <v>0</v>
      </c>
      <c r="AH242">
        <v>2</v>
      </c>
      <c r="AI242">
        <v>47921056</v>
      </c>
      <c r="AJ242">
        <v>237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</row>
    <row r="243" spans="1:44">
      <c r="A243">
        <f>ROW(Source!A306)</f>
        <v>306</v>
      </c>
      <c r="B243">
        <v>47921060</v>
      </c>
      <c r="C243">
        <v>47921054</v>
      </c>
      <c r="D243">
        <v>9907306</v>
      </c>
      <c r="E243">
        <v>1</v>
      </c>
      <c r="F243">
        <v>1</v>
      </c>
      <c r="G243">
        <v>1</v>
      </c>
      <c r="H243">
        <v>1</v>
      </c>
      <c r="I243" t="s">
        <v>747</v>
      </c>
      <c r="J243" t="s">
        <v>3</v>
      </c>
      <c r="K243" t="s">
        <v>748</v>
      </c>
      <c r="L243">
        <v>1191</v>
      </c>
      <c r="N243">
        <v>1013</v>
      </c>
      <c r="O243" t="s">
        <v>460</v>
      </c>
      <c r="P243" t="s">
        <v>460</v>
      </c>
      <c r="Q243">
        <v>1</v>
      </c>
      <c r="X243">
        <v>0.41</v>
      </c>
      <c r="Y243">
        <v>0</v>
      </c>
      <c r="Z243">
        <v>0</v>
      </c>
      <c r="AA243">
        <v>0</v>
      </c>
      <c r="AB243">
        <v>12.34</v>
      </c>
      <c r="AC243">
        <v>0</v>
      </c>
      <c r="AD243">
        <v>1</v>
      </c>
      <c r="AE243">
        <v>1</v>
      </c>
      <c r="AF243" t="s">
        <v>389</v>
      </c>
      <c r="AG243">
        <v>0.49199999999999994</v>
      </c>
      <c r="AH243">
        <v>2</v>
      </c>
      <c r="AI243">
        <v>47921057</v>
      </c>
      <c r="AJ243">
        <v>238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</row>
    <row r="244" spans="1:44">
      <c r="A244">
        <f>ROW(Source!A307)</f>
        <v>307</v>
      </c>
      <c r="B244">
        <v>47921065</v>
      </c>
      <c r="C244">
        <v>47921061</v>
      </c>
      <c r="D244">
        <v>9908273</v>
      </c>
      <c r="E244">
        <v>1</v>
      </c>
      <c r="F244">
        <v>1</v>
      </c>
      <c r="G244">
        <v>1</v>
      </c>
      <c r="H244">
        <v>1</v>
      </c>
      <c r="I244" t="s">
        <v>745</v>
      </c>
      <c r="J244" t="s">
        <v>3</v>
      </c>
      <c r="K244" t="s">
        <v>746</v>
      </c>
      <c r="L244">
        <v>1191</v>
      </c>
      <c r="N244">
        <v>1013</v>
      </c>
      <c r="O244" t="s">
        <v>460</v>
      </c>
      <c r="P244" t="s">
        <v>460</v>
      </c>
      <c r="Q244">
        <v>1</v>
      </c>
      <c r="X244">
        <v>0.16</v>
      </c>
      <c r="Y244">
        <v>0</v>
      </c>
      <c r="Z244">
        <v>0</v>
      </c>
      <c r="AA244">
        <v>0</v>
      </c>
      <c r="AB244">
        <v>12.56</v>
      </c>
      <c r="AC244">
        <v>0</v>
      </c>
      <c r="AD244">
        <v>1</v>
      </c>
      <c r="AE244">
        <v>1</v>
      </c>
      <c r="AF244" t="s">
        <v>389</v>
      </c>
      <c r="AG244">
        <v>0.192</v>
      </c>
      <c r="AH244">
        <v>2</v>
      </c>
      <c r="AI244">
        <v>47921062</v>
      </c>
      <c r="AJ244">
        <v>239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</row>
    <row r="245" spans="1:44">
      <c r="A245">
        <f>ROW(Source!A307)</f>
        <v>307</v>
      </c>
      <c r="B245">
        <v>47921066</v>
      </c>
      <c r="C245">
        <v>47921061</v>
      </c>
      <c r="D245">
        <v>121548</v>
      </c>
      <c r="E245">
        <v>1</v>
      </c>
      <c r="F245">
        <v>1</v>
      </c>
      <c r="G245">
        <v>1</v>
      </c>
      <c r="H245">
        <v>1</v>
      </c>
      <c r="I245" t="s">
        <v>26</v>
      </c>
      <c r="J245" t="s">
        <v>3</v>
      </c>
      <c r="K245" t="s">
        <v>461</v>
      </c>
      <c r="L245">
        <v>608254</v>
      </c>
      <c r="N245">
        <v>1013</v>
      </c>
      <c r="O245" t="s">
        <v>462</v>
      </c>
      <c r="P245" t="s">
        <v>462</v>
      </c>
      <c r="Q245">
        <v>1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1</v>
      </c>
      <c r="AE245">
        <v>2</v>
      </c>
      <c r="AF245" t="s">
        <v>3</v>
      </c>
      <c r="AG245">
        <v>0</v>
      </c>
      <c r="AH245">
        <v>2</v>
      </c>
      <c r="AI245">
        <v>47921063</v>
      </c>
      <c r="AJ245">
        <v>240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</row>
    <row r="246" spans="1:44">
      <c r="A246">
        <f>ROW(Source!A307)</f>
        <v>307</v>
      </c>
      <c r="B246">
        <v>47921067</v>
      </c>
      <c r="C246">
        <v>47921061</v>
      </c>
      <c r="D246">
        <v>9907306</v>
      </c>
      <c r="E246">
        <v>1</v>
      </c>
      <c r="F246">
        <v>1</v>
      </c>
      <c r="G246">
        <v>1</v>
      </c>
      <c r="H246">
        <v>1</v>
      </c>
      <c r="I246" t="s">
        <v>747</v>
      </c>
      <c r="J246" t="s">
        <v>3</v>
      </c>
      <c r="K246" t="s">
        <v>748</v>
      </c>
      <c r="L246">
        <v>1191</v>
      </c>
      <c r="N246">
        <v>1013</v>
      </c>
      <c r="O246" t="s">
        <v>460</v>
      </c>
      <c r="P246" t="s">
        <v>460</v>
      </c>
      <c r="Q246">
        <v>1</v>
      </c>
      <c r="X246">
        <v>0.16</v>
      </c>
      <c r="Y246">
        <v>0</v>
      </c>
      <c r="Z246">
        <v>0</v>
      </c>
      <c r="AA246">
        <v>0</v>
      </c>
      <c r="AB246">
        <v>12.34</v>
      </c>
      <c r="AC246">
        <v>0</v>
      </c>
      <c r="AD246">
        <v>1</v>
      </c>
      <c r="AE246">
        <v>1</v>
      </c>
      <c r="AF246" t="s">
        <v>389</v>
      </c>
      <c r="AG246">
        <v>0.192</v>
      </c>
      <c r="AH246">
        <v>2</v>
      </c>
      <c r="AI246">
        <v>47921064</v>
      </c>
      <c r="AJ246">
        <v>241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Смета по ФЕР 421пр (12 гр.</vt:lpstr>
      <vt:lpstr>Source</vt:lpstr>
      <vt:lpstr>SourceObSm</vt:lpstr>
      <vt:lpstr>SmtRes</vt:lpstr>
      <vt:lpstr>EtalonRes</vt:lpstr>
      <vt:lpstr>'Смета по ФЕР 421пр (12 гр.'!Заголовки_для_печати</vt:lpstr>
      <vt:lpstr>'Смета по ФЕР 421пр (12 гр.'!Область_печати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nazarov</cp:lastModifiedBy>
  <cp:lastPrinted>2023-09-15T07:19:29Z</cp:lastPrinted>
  <dcterms:created xsi:type="dcterms:W3CDTF">2023-09-15T07:03:50Z</dcterms:created>
  <dcterms:modified xsi:type="dcterms:W3CDTF">2023-09-26T09:59:06Z</dcterms:modified>
</cp:coreProperties>
</file>